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710" yWindow="0" windowWidth="10830" windowHeight="10770" tabRatio="794"/>
  </bookViews>
  <sheets>
    <sheet name="калькуляция 2021" sheetId="54" r:id="rId1"/>
    <sheet name="тариф 01.10.21" sheetId="53" r:id="rId2"/>
    <sheet name="тариф" sheetId="34" r:id="rId3"/>
    <sheet name="калькуляция 2020" sheetId="50" r:id="rId4"/>
    <sheet name="калькуляция 2019" sheetId="52" r:id="rId5"/>
    <sheet name="ТХ МКД" sheetId="48" r:id="rId6"/>
  </sheets>
  <definedNames>
    <definedName name="ВИДЫ_МУП" localSheetId="4">#REF!</definedName>
    <definedName name="ВИДЫ_МУП" localSheetId="3">#REF!</definedName>
    <definedName name="ВИДЫ_МУП" localSheetId="0">#REF!</definedName>
    <definedName name="ВИДЫ_МУП">#REF!</definedName>
    <definedName name="_xlnm.Print_Area" localSheetId="4">'калькуляция 2019'!$A$1:$H$125</definedName>
    <definedName name="_xlnm.Print_Area" localSheetId="3">'калькуляция 2020'!$A$1:$I$124</definedName>
    <definedName name="_xlnm.Print_Area" localSheetId="0">'калькуляция 2021'!$A$1:$I$127</definedName>
    <definedName name="Резервный_фонд" localSheetId="4">#REF!</definedName>
    <definedName name="Резервный_фонд" localSheetId="3">#REF!</definedName>
    <definedName name="Резервный_фонд" localSheetId="0">#REF!</definedName>
    <definedName name="Резервный_фонд">#REF!</definedName>
    <definedName name="Система_налогообложения" localSheetId="4">#REF!</definedName>
    <definedName name="Система_налогообложения" localSheetId="3">#REF!</definedName>
    <definedName name="Система_налогообложения" localSheetId="0">#REF!</definedName>
    <definedName name="Система_налогообложения">#REF!</definedName>
    <definedName name="Ставка" localSheetId="4">#REF!</definedName>
    <definedName name="Ставка" localSheetId="3">#REF!</definedName>
    <definedName name="Ставка" localSheetId="0">#REF!</definedName>
    <definedName name="Ставка">#REF!</definedName>
  </definedNames>
  <calcPr calcId="144525"/>
</workbook>
</file>

<file path=xl/calcChain.xml><?xml version="1.0" encoding="utf-8"?>
<calcChain xmlns="http://schemas.openxmlformats.org/spreadsheetml/2006/main">
  <c r="E57" i="54" l="1"/>
  <c r="D41" i="54" l="1"/>
  <c r="C34" i="34"/>
  <c r="D129" i="54"/>
  <c r="D118" i="54"/>
  <c r="D85" i="54"/>
  <c r="D84" i="54"/>
  <c r="F84" i="54" s="1"/>
  <c r="D79" i="54"/>
  <c r="D78" i="54"/>
  <c r="D77" i="54" s="1"/>
  <c r="D72" i="54"/>
  <c r="D66" i="54"/>
  <c r="D63" i="54"/>
  <c r="D62" i="54" s="1"/>
  <c r="D60" i="54"/>
  <c r="D59" i="54"/>
  <c r="D58" i="54" s="1"/>
  <c r="D57" i="54"/>
  <c r="D56" i="54"/>
  <c r="D51" i="54"/>
  <c r="D46" i="54"/>
  <c r="D36" i="54"/>
  <c r="D30" i="54"/>
  <c r="D25" i="54"/>
  <c r="D20" i="54"/>
  <c r="D15" i="54"/>
  <c r="D10" i="54"/>
  <c r="H69" i="54"/>
  <c r="I40" i="54"/>
  <c r="H40" i="54"/>
  <c r="H45" i="54"/>
  <c r="G42" i="54" s="1"/>
  <c r="H49" i="54"/>
  <c r="H55" i="54"/>
  <c r="G52" i="54" s="1"/>
  <c r="I19" i="54"/>
  <c r="H19" i="54"/>
  <c r="I14" i="54"/>
  <c r="H14" i="54"/>
  <c r="E117" i="54"/>
  <c r="D117" i="54"/>
  <c r="E121" i="54"/>
  <c r="D121" i="54"/>
  <c r="E97" i="54"/>
  <c r="E86" i="54"/>
  <c r="C85" i="54"/>
  <c r="C84" i="54"/>
  <c r="C79" i="54"/>
  <c r="E77" i="54"/>
  <c r="H74" i="54"/>
  <c r="H75" i="54" s="1"/>
  <c r="G73" i="54" s="1"/>
  <c r="G74" i="54" s="1"/>
  <c r="C73" i="54"/>
  <c r="C71" i="54"/>
  <c r="H68" i="54"/>
  <c r="F65" i="54"/>
  <c r="C65" i="54"/>
  <c r="E64" i="54"/>
  <c r="E62" i="54"/>
  <c r="F61" i="54"/>
  <c r="C61" i="54"/>
  <c r="F60" i="54"/>
  <c r="E58" i="54"/>
  <c r="E56" i="54"/>
  <c r="H53" i="54"/>
  <c r="H54" i="54" s="1"/>
  <c r="E51" i="54"/>
  <c r="F51" i="54" s="1"/>
  <c r="H48" i="54"/>
  <c r="C46" i="54"/>
  <c r="H43" i="54"/>
  <c r="H44" i="54" s="1"/>
  <c r="E41" i="54"/>
  <c r="C41" i="54"/>
  <c r="I38" i="54"/>
  <c r="I39" i="54" s="1"/>
  <c r="H38" i="54"/>
  <c r="H39" i="54" s="1"/>
  <c r="H32" i="54"/>
  <c r="H33" i="54" s="1"/>
  <c r="H34" i="54" s="1"/>
  <c r="G31" i="54" s="1"/>
  <c r="G32" i="54" s="1"/>
  <c r="H27" i="54"/>
  <c r="H28" i="54" s="1"/>
  <c r="G26" i="54" s="1"/>
  <c r="G27" i="54" s="1"/>
  <c r="C25" i="54"/>
  <c r="H22" i="54"/>
  <c r="H23" i="54" s="1"/>
  <c r="H24" i="54" s="1"/>
  <c r="G21" i="54" s="1"/>
  <c r="G22" i="54" s="1"/>
  <c r="C20" i="54"/>
  <c r="I17" i="54"/>
  <c r="I18" i="54" s="1"/>
  <c r="H17" i="54"/>
  <c r="H18" i="54" s="1"/>
  <c r="I12" i="54"/>
  <c r="I13" i="54" s="1"/>
  <c r="H12" i="54"/>
  <c r="H13" i="54" s="1"/>
  <c r="E10" i="54"/>
  <c r="E9" i="54" s="1"/>
  <c r="C10" i="54"/>
  <c r="B4" i="54"/>
  <c r="G67" i="54" l="1"/>
  <c r="E35" i="54"/>
  <c r="G47" i="54"/>
  <c r="G48" i="54" s="1"/>
  <c r="E120" i="54"/>
  <c r="G43" i="54"/>
  <c r="G53" i="54"/>
  <c r="G11" i="54"/>
  <c r="G12" i="54" s="1"/>
  <c r="G16" i="54"/>
  <c r="G17" i="54" s="1"/>
  <c r="F30" i="54"/>
  <c r="C30" i="54"/>
  <c r="G37" i="54"/>
  <c r="G38" i="54" s="1"/>
  <c r="G68" i="54"/>
  <c r="C78" i="54"/>
  <c r="C57" i="54"/>
  <c r="F20" i="54"/>
  <c r="F25" i="54"/>
  <c r="F41" i="54"/>
  <c r="F46" i="54"/>
  <c r="C51" i="54"/>
  <c r="I53" i="54"/>
  <c r="I54" i="54" s="1"/>
  <c r="C60" i="54"/>
  <c r="C74" i="54"/>
  <c r="F79" i="54"/>
  <c r="D14" i="53"/>
  <c r="B33" i="53"/>
  <c r="C10" i="53" s="1"/>
  <c r="B2" i="53"/>
  <c r="B3" i="53"/>
  <c r="B9" i="53"/>
  <c r="B20" i="53"/>
  <c r="B29" i="53"/>
  <c r="B30" i="53"/>
  <c r="C30" i="53"/>
  <c r="D30" i="53"/>
  <c r="C36" i="54" l="1"/>
  <c r="C56" i="54"/>
  <c r="F56" i="54"/>
  <c r="C68" i="54"/>
  <c r="F85" i="54"/>
  <c r="F15" i="54"/>
  <c r="C15" i="54"/>
  <c r="C9" i="54" s="1"/>
  <c r="C75" i="54"/>
  <c r="F10" i="54"/>
  <c r="D9" i="54"/>
  <c r="F9" i="54" s="1"/>
  <c r="C69" i="54"/>
  <c r="F58" i="54"/>
  <c r="C58" i="54"/>
  <c r="F77" i="54"/>
  <c r="C77" i="54"/>
  <c r="C67" i="54"/>
  <c r="C62" i="54"/>
  <c r="F62" i="54"/>
  <c r="D10" i="53"/>
  <c r="C17" i="53"/>
  <c r="D17" i="53" s="1"/>
  <c r="C15" i="53"/>
  <c r="D15" i="53" s="1"/>
  <c r="C8" i="53"/>
  <c r="D8" i="53" s="1"/>
  <c r="C7" i="53"/>
  <c r="D7" i="53" s="1"/>
  <c r="C6" i="53"/>
  <c r="D6" i="53" s="1"/>
  <c r="C5" i="53"/>
  <c r="D5" i="53" s="1"/>
  <c r="C4" i="53"/>
  <c r="C28" i="53"/>
  <c r="C27" i="53"/>
  <c r="D27" i="53" s="1"/>
  <c r="C26" i="53"/>
  <c r="D26" i="53" s="1"/>
  <c r="C25" i="53"/>
  <c r="D25" i="53" s="1"/>
  <c r="C24" i="53"/>
  <c r="D24" i="53" s="1"/>
  <c r="C23" i="53"/>
  <c r="D23" i="53" s="1"/>
  <c r="C22" i="53"/>
  <c r="D22" i="53" s="1"/>
  <c r="C21" i="53"/>
  <c r="C14" i="53"/>
  <c r="C13" i="53"/>
  <c r="D13" i="53" s="1"/>
  <c r="C12" i="53"/>
  <c r="D12" i="53" s="1"/>
  <c r="C11" i="53"/>
  <c r="D11" i="53" s="1"/>
  <c r="C66" i="54" l="1"/>
  <c r="C72" i="54"/>
  <c r="F72" i="54"/>
  <c r="C35" i="54"/>
  <c r="F36" i="54"/>
  <c r="D35" i="54"/>
  <c r="D28" i="53"/>
  <c r="C29" i="53"/>
  <c r="C34" i="53" s="1"/>
  <c r="D9" i="53"/>
  <c r="C20" i="53"/>
  <c r="D21" i="53"/>
  <c r="D20" i="53" s="1"/>
  <c r="D4" i="53"/>
  <c r="D3" i="53" s="1"/>
  <c r="C3" i="53"/>
  <c r="C9" i="53"/>
  <c r="F35" i="54" l="1"/>
  <c r="F66" i="54"/>
  <c r="D64" i="54"/>
  <c r="D120" i="54" s="1"/>
  <c r="C64" i="54"/>
  <c r="C120" i="54" s="1"/>
  <c r="C122" i="54" s="1"/>
  <c r="D29" i="53"/>
  <c r="F64" i="54" l="1"/>
  <c r="C33" i="48"/>
  <c r="C29" i="48"/>
  <c r="C25" i="48"/>
  <c r="C23" i="48" s="1"/>
  <c r="C19" i="48"/>
  <c r="C13" i="48"/>
  <c r="C10" i="48"/>
  <c r="C6" i="48"/>
  <c r="F120" i="54" l="1"/>
  <c r="G11" i="50"/>
  <c r="D119" i="50" l="1"/>
  <c r="D85" i="50"/>
  <c r="D79" i="50"/>
  <c r="D78" i="50"/>
  <c r="D77" i="50"/>
  <c r="D75" i="50"/>
  <c r="D74" i="50"/>
  <c r="D73" i="50"/>
  <c r="D72" i="50"/>
  <c r="D71" i="50"/>
  <c r="D69" i="50"/>
  <c r="D68" i="50"/>
  <c r="D67" i="50"/>
  <c r="D66" i="50"/>
  <c r="D65" i="50"/>
  <c r="D63" i="50"/>
  <c r="D62" i="50"/>
  <c r="D59" i="50"/>
  <c r="D60" i="50"/>
  <c r="D61" i="50"/>
  <c r="D58" i="50"/>
  <c r="D56" i="50"/>
  <c r="D51" i="50"/>
  <c r="D46" i="50"/>
  <c r="D41" i="50"/>
  <c r="D36" i="50"/>
  <c r="D30" i="50"/>
  <c r="D25" i="50"/>
  <c r="D20" i="50"/>
  <c r="G21" i="50"/>
  <c r="D15" i="50"/>
  <c r="D10" i="50"/>
  <c r="I54" i="50"/>
  <c r="I53" i="50"/>
  <c r="B68" i="50" l="1"/>
  <c r="B69" i="50"/>
  <c r="B67" i="50"/>
  <c r="G69" i="50"/>
  <c r="G68" i="50"/>
  <c r="G67" i="50"/>
  <c r="G52" i="50"/>
  <c r="G53" i="50" s="1"/>
  <c r="G49" i="50"/>
  <c r="G48" i="50"/>
  <c r="G47" i="50"/>
  <c r="G42" i="50"/>
  <c r="G44" i="50" s="1"/>
  <c r="G43" i="50"/>
  <c r="G39" i="50"/>
  <c r="G38" i="50"/>
  <c r="G37" i="50"/>
  <c r="G33" i="50"/>
  <c r="G32" i="50"/>
  <c r="G31" i="50"/>
  <c r="G28" i="50"/>
  <c r="G27" i="50"/>
  <c r="G26" i="50"/>
  <c r="G22" i="50"/>
  <c r="G23" i="50" s="1"/>
  <c r="G18" i="50"/>
  <c r="G17" i="50"/>
  <c r="G16" i="50"/>
  <c r="G12" i="50"/>
  <c r="G13" i="50" s="1"/>
  <c r="G75" i="50" l="1"/>
  <c r="G74" i="50"/>
  <c r="G73" i="50"/>
  <c r="H74" i="50"/>
  <c r="H75" i="50" s="1"/>
  <c r="H68" i="50"/>
  <c r="H69" i="50" s="1"/>
  <c r="H53" i="50"/>
  <c r="H54" i="50" s="1"/>
  <c r="H55" i="50" s="1"/>
  <c r="H48" i="50"/>
  <c r="H49" i="50" s="1"/>
  <c r="H43" i="50"/>
  <c r="H44" i="50" s="1"/>
  <c r="H45" i="50" s="1"/>
  <c r="I38" i="50"/>
  <c r="I39" i="50" s="1"/>
  <c r="I40" i="50" s="1"/>
  <c r="H38" i="50"/>
  <c r="H32" i="50"/>
  <c r="H33" i="50" s="1"/>
  <c r="H34" i="50" s="1"/>
  <c r="H27" i="50"/>
  <c r="H28" i="50" s="1"/>
  <c r="H22" i="50"/>
  <c r="H23" i="50" s="1"/>
  <c r="H24" i="50" s="1"/>
  <c r="G27" i="52"/>
  <c r="I17" i="50"/>
  <c r="I18" i="50" s="1"/>
  <c r="I19" i="50" s="1"/>
  <c r="H17" i="50"/>
  <c r="H18" i="50" s="1"/>
  <c r="H19" i="50" s="1"/>
  <c r="I12" i="50"/>
  <c r="I13" i="50" s="1"/>
  <c r="I14" i="50" s="1"/>
  <c r="H12" i="50"/>
  <c r="H13" i="50" s="1"/>
  <c r="H14" i="50" s="1"/>
  <c r="H39" i="50"/>
  <c r="H40" i="50" s="1"/>
  <c r="H40" i="52"/>
  <c r="G40" i="52"/>
  <c r="F75" i="52"/>
  <c r="F74" i="52"/>
  <c r="F73" i="52"/>
  <c r="G75" i="52"/>
  <c r="G74" i="52"/>
  <c r="B68" i="52"/>
  <c r="B67" i="52"/>
  <c r="F69" i="52"/>
  <c r="F68" i="52"/>
  <c r="F67" i="52"/>
  <c r="G68" i="52"/>
  <c r="G69" i="52" s="1"/>
  <c r="F52" i="52" l="1"/>
  <c r="F54" i="52" s="1"/>
  <c r="F53" i="52"/>
  <c r="G54" i="52"/>
  <c r="G53" i="52"/>
  <c r="G48" i="52"/>
  <c r="G43" i="52"/>
  <c r="H38" i="52"/>
  <c r="G38" i="52"/>
  <c r="I17" i="52"/>
  <c r="G32" i="52"/>
  <c r="F23" i="52" l="1"/>
  <c r="F22" i="52"/>
  <c r="F21" i="52"/>
  <c r="F18" i="52"/>
  <c r="F17" i="52"/>
  <c r="F16" i="52"/>
  <c r="G22" i="52"/>
  <c r="H17" i="52"/>
  <c r="G17" i="52"/>
  <c r="F13" i="52"/>
  <c r="F12" i="52"/>
  <c r="F11" i="52"/>
  <c r="H12" i="52"/>
  <c r="G18" i="52" l="1"/>
  <c r="G19" i="52" s="1"/>
  <c r="G12" i="52"/>
  <c r="G13" i="52" s="1"/>
  <c r="G14" i="52" s="1"/>
  <c r="D2" i="34"/>
  <c r="B2" i="34"/>
  <c r="B29" i="48"/>
  <c r="G55" i="52"/>
  <c r="G49" i="52"/>
  <c r="G44" i="52"/>
  <c r="G45" i="52" s="1"/>
  <c r="H39" i="52"/>
  <c r="G39" i="52"/>
  <c r="G33" i="52"/>
  <c r="G34" i="52" s="1"/>
  <c r="G28" i="52"/>
  <c r="F26" i="52" s="1"/>
  <c r="F27" i="52" s="1"/>
  <c r="G23" i="52"/>
  <c r="G24" i="52" s="1"/>
  <c r="I19" i="52"/>
  <c r="H18" i="52"/>
  <c r="H19" i="52" s="1"/>
  <c r="H13" i="52"/>
  <c r="H14" i="52" s="1"/>
  <c r="E118" i="50" l="1"/>
  <c r="D118" i="50"/>
  <c r="B118" i="50"/>
  <c r="C119" i="52"/>
  <c r="D119" i="52"/>
  <c r="B119" i="52"/>
  <c r="D113" i="52" l="1"/>
  <c r="D101" i="52"/>
  <c r="D102" i="52"/>
  <c r="D103" i="52"/>
  <c r="D104" i="52"/>
  <c r="D105" i="52"/>
  <c r="D106" i="52"/>
  <c r="D107" i="52"/>
  <c r="D108" i="52"/>
  <c r="D109" i="52"/>
  <c r="D110" i="52"/>
  <c r="D111" i="52"/>
  <c r="D112" i="52"/>
  <c r="D114" i="52"/>
  <c r="D115" i="52"/>
  <c r="D116" i="52"/>
  <c r="D117" i="52"/>
  <c r="D99" i="52"/>
  <c r="D100" i="52"/>
  <c r="D98" i="52"/>
  <c r="D97" i="52" s="1"/>
  <c r="D89" i="52"/>
  <c r="D90" i="52"/>
  <c r="D91" i="52"/>
  <c r="D92" i="52"/>
  <c r="D93" i="52"/>
  <c r="D94" i="52"/>
  <c r="D95" i="52"/>
  <c r="D96" i="52"/>
  <c r="D87" i="52"/>
  <c r="D88" i="52"/>
  <c r="D86" i="52" l="1"/>
  <c r="E23" i="34" l="1"/>
  <c r="F66" i="52" s="1"/>
  <c r="E24" i="34"/>
  <c r="E25" i="34"/>
  <c r="F72" i="52" s="1"/>
  <c r="E26" i="34"/>
  <c r="F77" i="52" s="1"/>
  <c r="B78" i="52" s="1"/>
  <c r="E27" i="34"/>
  <c r="F79" i="52" s="1"/>
  <c r="B79" i="52" s="1"/>
  <c r="E28" i="34"/>
  <c r="F85" i="52" s="1"/>
  <c r="E29" i="34"/>
  <c r="E22" i="34"/>
  <c r="E14" i="34"/>
  <c r="F41" i="52" s="1"/>
  <c r="B41" i="52" s="1"/>
  <c r="C41" i="52" s="1"/>
  <c r="E41" i="52" s="1"/>
  <c r="E15" i="34"/>
  <c r="F46" i="52" s="1"/>
  <c r="B46" i="52" s="1"/>
  <c r="C46" i="52" s="1"/>
  <c r="E46" i="52" s="1"/>
  <c r="E16" i="34"/>
  <c r="F51" i="52" s="1"/>
  <c r="B51" i="52" s="1"/>
  <c r="E17" i="34"/>
  <c r="F56" i="52" s="1"/>
  <c r="B57" i="52" s="1"/>
  <c r="E18" i="34"/>
  <c r="F58" i="52" s="1"/>
  <c r="B59" i="52" s="1"/>
  <c r="B58" i="52" s="1"/>
  <c r="E19" i="34"/>
  <c r="E20" i="34"/>
  <c r="F62" i="52" s="1"/>
  <c r="B63" i="52" s="1"/>
  <c r="B62" i="52" s="1"/>
  <c r="E13" i="34"/>
  <c r="F36" i="52" s="1"/>
  <c r="B36" i="52" s="1"/>
  <c r="C36" i="52" s="1"/>
  <c r="E36" i="52" s="1"/>
  <c r="E7" i="34"/>
  <c r="F15" i="52" s="1"/>
  <c r="B15" i="52" s="1"/>
  <c r="C15" i="52" s="1"/>
  <c r="E15" i="52" s="1"/>
  <c r="E8" i="34"/>
  <c r="F20" i="52" s="1"/>
  <c r="B20" i="52" s="1"/>
  <c r="C20" i="52" s="1"/>
  <c r="E20" i="52" s="1"/>
  <c r="E9" i="34"/>
  <c r="F25" i="52" s="1"/>
  <c r="B25" i="52" s="1"/>
  <c r="E10" i="34"/>
  <c r="F30" i="52" s="1"/>
  <c r="B30" i="52" s="1"/>
  <c r="C30" i="52" s="1"/>
  <c r="E6" i="34"/>
  <c r="F10" i="52" s="1"/>
  <c r="B10" i="52" s="1"/>
  <c r="C10" i="52" s="1"/>
  <c r="E10" i="52" s="1"/>
  <c r="B4" i="52"/>
  <c r="E84" i="52"/>
  <c r="C84" i="52"/>
  <c r="D79" i="52"/>
  <c r="D77" i="52"/>
  <c r="B74" i="52"/>
  <c r="C73" i="52"/>
  <c r="D72" i="52"/>
  <c r="C71" i="52"/>
  <c r="C68" i="52"/>
  <c r="C67" i="52"/>
  <c r="D66" i="52"/>
  <c r="C65" i="52"/>
  <c r="E65" i="52" s="1"/>
  <c r="D64" i="52"/>
  <c r="D62" i="52"/>
  <c r="E61" i="52"/>
  <c r="C61" i="52"/>
  <c r="B60" i="52"/>
  <c r="C60" i="52" s="1"/>
  <c r="D58" i="52"/>
  <c r="D56" i="52"/>
  <c r="D51" i="52"/>
  <c r="D46" i="52"/>
  <c r="D41" i="52"/>
  <c r="D36" i="52"/>
  <c r="D30" i="52"/>
  <c r="D25" i="52"/>
  <c r="D20" i="52"/>
  <c r="D15" i="52"/>
  <c r="D10" i="52"/>
  <c r="D32" i="34"/>
  <c r="E30" i="34"/>
  <c r="E21" i="34"/>
  <c r="F64" i="52" s="1"/>
  <c r="E12" i="34"/>
  <c r="F35" i="52" s="1"/>
  <c r="E5" i="34"/>
  <c r="F9" i="52" s="1"/>
  <c r="D30" i="34"/>
  <c r="D21" i="34"/>
  <c r="D12" i="34"/>
  <c r="D5" i="34"/>
  <c r="B69" i="52" l="1"/>
  <c r="E30" i="52"/>
  <c r="D85" i="52"/>
  <c r="B75" i="52"/>
  <c r="C75" i="52" s="1"/>
  <c r="C25" i="52"/>
  <c r="E25" i="52" s="1"/>
  <c r="B9" i="52"/>
  <c r="C9" i="52"/>
  <c r="D35" i="52"/>
  <c r="C74" i="52"/>
  <c r="D9" i="52"/>
  <c r="C51" i="52"/>
  <c r="E51" i="52" s="1"/>
  <c r="C58" i="52"/>
  <c r="E58" i="52" s="1"/>
  <c r="C69" i="52"/>
  <c r="C79" i="52"/>
  <c r="E79" i="52" s="1"/>
  <c r="C57" i="52"/>
  <c r="B56" i="52"/>
  <c r="B35" i="52" s="1"/>
  <c r="C62" i="52"/>
  <c r="E62" i="52" s="1"/>
  <c r="C78" i="52"/>
  <c r="B77" i="52"/>
  <c r="E60" i="52"/>
  <c r="B66" i="52"/>
  <c r="E9" i="52" l="1"/>
  <c r="D118" i="52"/>
  <c r="B72" i="52"/>
  <c r="C72" i="52" s="1"/>
  <c r="E72" i="52" s="1"/>
  <c r="C66" i="52"/>
  <c r="E66" i="52" s="1"/>
  <c r="C77" i="52"/>
  <c r="E77" i="52" s="1"/>
  <c r="C56" i="52"/>
  <c r="C73" i="50"/>
  <c r="C74" i="50"/>
  <c r="B74" i="50"/>
  <c r="C67" i="50"/>
  <c r="C68" i="50"/>
  <c r="C8" i="34"/>
  <c r="B64" i="52" l="1"/>
  <c r="C35" i="52"/>
  <c r="E35" i="52" s="1"/>
  <c r="E56" i="52"/>
  <c r="D120" i="52"/>
  <c r="C64" i="52"/>
  <c r="E64" i="52" s="1"/>
  <c r="G20" i="50" l="1"/>
  <c r="B20" i="50" s="1"/>
  <c r="C20" i="50" s="1"/>
  <c r="B4" i="50"/>
  <c r="C28" i="34" l="1"/>
  <c r="C7" i="34"/>
  <c r="G15" i="50" s="1"/>
  <c r="B15" i="50" s="1"/>
  <c r="C15" i="50" s="1"/>
  <c r="C9" i="34"/>
  <c r="G25" i="50" s="1"/>
  <c r="B25" i="50" s="1"/>
  <c r="C25" i="50" s="1"/>
  <c r="C10" i="34"/>
  <c r="G30" i="50" s="1"/>
  <c r="B30" i="50" s="1"/>
  <c r="C30" i="50" s="1"/>
  <c r="C11" i="34"/>
  <c r="C13" i="34"/>
  <c r="G36" i="50" s="1"/>
  <c r="B36" i="50" s="1"/>
  <c r="C36" i="50" s="1"/>
  <c r="C14" i="34"/>
  <c r="G41" i="50" s="1"/>
  <c r="B41" i="50" s="1"/>
  <c r="C41" i="50" s="1"/>
  <c r="C15" i="34"/>
  <c r="G46" i="50" s="1"/>
  <c r="B46" i="50" s="1"/>
  <c r="C46" i="50" s="1"/>
  <c r="C16" i="34"/>
  <c r="G51" i="50" s="1"/>
  <c r="B51" i="50" s="1"/>
  <c r="C51" i="50" s="1"/>
  <c r="C17" i="34"/>
  <c r="G56" i="50" s="1"/>
  <c r="B57" i="50" s="1"/>
  <c r="C18" i="34"/>
  <c r="C19" i="34"/>
  <c r="C20" i="34"/>
  <c r="G62" i="50" s="1"/>
  <c r="B63" i="50" s="1"/>
  <c r="C22" i="34"/>
  <c r="C21" i="34" s="1"/>
  <c r="C23" i="34"/>
  <c r="G66" i="50" s="1"/>
  <c r="C24" i="34"/>
  <c r="C25" i="34"/>
  <c r="G72" i="50" s="1"/>
  <c r="B75" i="50" s="1"/>
  <c r="C26" i="34"/>
  <c r="G77" i="50" s="1"/>
  <c r="B78" i="50" s="1"/>
  <c r="C27" i="34"/>
  <c r="G79" i="50" s="1"/>
  <c r="B79" i="50" s="1"/>
  <c r="C29" i="34"/>
  <c r="C30" i="34" s="1"/>
  <c r="C6" i="34"/>
  <c r="G10" i="50" s="1"/>
  <c r="B10" i="50" s="1"/>
  <c r="C10" i="50" s="1"/>
  <c r="B30" i="34"/>
  <c r="B21" i="34"/>
  <c r="B12" i="34"/>
  <c r="B5" i="34"/>
  <c r="B32" i="34"/>
  <c r="C78" i="50" l="1"/>
  <c r="D57" i="50"/>
  <c r="B56" i="50"/>
  <c r="C57" i="50"/>
  <c r="C12" i="34"/>
  <c r="G35" i="50" s="1"/>
  <c r="B85" i="52"/>
  <c r="G85" i="50"/>
  <c r="C75" i="50"/>
  <c r="C69" i="50"/>
  <c r="G58" i="50"/>
  <c r="B59" i="50" s="1"/>
  <c r="C5" i="34"/>
  <c r="G9" i="50" s="1"/>
  <c r="B85" i="50"/>
  <c r="E97" i="50"/>
  <c r="D84" i="50"/>
  <c r="F84" i="50" s="1"/>
  <c r="C84" i="50"/>
  <c r="E79" i="50"/>
  <c r="E77" i="50"/>
  <c r="B77" i="50"/>
  <c r="E72" i="50"/>
  <c r="C71" i="50"/>
  <c r="E66" i="50"/>
  <c r="E64" i="50" s="1"/>
  <c r="F65" i="50"/>
  <c r="C65" i="50"/>
  <c r="E62" i="50"/>
  <c r="B62" i="50"/>
  <c r="C62" i="50" s="1"/>
  <c r="F61" i="50"/>
  <c r="C61" i="50"/>
  <c r="C60" i="50"/>
  <c r="B60" i="50"/>
  <c r="F60" i="50" s="1"/>
  <c r="E58" i="50"/>
  <c r="E56" i="50"/>
  <c r="C56" i="50"/>
  <c r="E51" i="50"/>
  <c r="F51" i="50"/>
  <c r="E46" i="50"/>
  <c r="E41" i="50"/>
  <c r="F41" i="50"/>
  <c r="E36" i="50"/>
  <c r="E30" i="50"/>
  <c r="E25" i="50"/>
  <c r="E20" i="50"/>
  <c r="E15" i="50"/>
  <c r="E10" i="50"/>
  <c r="E9" i="50" s="1"/>
  <c r="C85" i="52" l="1"/>
  <c r="B118" i="52"/>
  <c r="B120" i="52" s="1"/>
  <c r="E86" i="50"/>
  <c r="E85" i="50" s="1"/>
  <c r="F46" i="50"/>
  <c r="F77" i="50"/>
  <c r="C77" i="50"/>
  <c r="E35" i="50"/>
  <c r="F15" i="50"/>
  <c r="B72" i="50"/>
  <c r="F56" i="50"/>
  <c r="F62" i="50"/>
  <c r="B58" i="50"/>
  <c r="B35" i="50" s="1"/>
  <c r="C85" i="50"/>
  <c r="F72" i="50" l="1"/>
  <c r="C72" i="50"/>
  <c r="E85" i="52"/>
  <c r="C118" i="52"/>
  <c r="E117" i="50"/>
  <c r="F85" i="50"/>
  <c r="F36" i="50"/>
  <c r="F30" i="50"/>
  <c r="F58" i="50"/>
  <c r="C58" i="50"/>
  <c r="C35" i="50" s="1"/>
  <c r="F25" i="50"/>
  <c r="B66" i="50"/>
  <c r="C66" i="50" s="1"/>
  <c r="F79" i="50"/>
  <c r="C79" i="50"/>
  <c r="C9" i="50"/>
  <c r="C120" i="52" l="1"/>
  <c r="E118" i="52"/>
  <c r="B9" i="50"/>
  <c r="F20" i="50"/>
  <c r="D35" i="50"/>
  <c r="F35" i="50" s="1"/>
  <c r="B64" i="50"/>
  <c r="B117" i="50" s="1"/>
  <c r="B119" i="50" s="1"/>
  <c r="C64" i="50"/>
  <c r="C117" i="50" s="1"/>
  <c r="C119" i="50" s="1"/>
  <c r="F66" i="50" l="1"/>
  <c r="D64" i="50"/>
  <c r="F10" i="50"/>
  <c r="D9" i="50"/>
  <c r="F9" i="50" s="1"/>
  <c r="F64" i="50" l="1"/>
  <c r="D117" i="50"/>
  <c r="F117" i="50" l="1"/>
</calcChain>
</file>

<file path=xl/sharedStrings.xml><?xml version="1.0" encoding="utf-8"?>
<sst xmlns="http://schemas.openxmlformats.org/spreadsheetml/2006/main" count="571" uniqueCount="195">
  <si>
    <t>Прочие расходы</t>
  </si>
  <si>
    <t>Адрес</t>
  </si>
  <si>
    <t>I Ремонт конструктивных элементов жилых зданий *</t>
  </si>
  <si>
    <t>1.1 Работы выполняемые в отношении всех видов фундаментов , стен, перекрытий и покрытий,колонн и столбов, балок (ригелей), перекрытий, лестниц,колонн и столбов,балок (ригелей) перекрытий, лестниц</t>
  </si>
  <si>
    <t>1.2 Работы выполняемые в целях надлежащего содержания фасадов, внутренней отделки</t>
  </si>
  <si>
    <t>1.3 Работы выполняемые в целях надлежащего содержания полов, полов оконных и дверных заполнений помещений, относящихся к общему имуществу</t>
  </si>
  <si>
    <t>1.4 Содержание подвалов и чердаков</t>
  </si>
  <si>
    <t>1.5 Работы выполняемые в целях надлежащего  содержания крыш</t>
  </si>
  <si>
    <t>II Ремонт и обслуживание внутридомового инженерного оборудования</t>
  </si>
  <si>
    <t>2.1 Обслуживание систем холодного водоснабжения и водоотведения</t>
  </si>
  <si>
    <t>2.2 Обслуживание систем теплоснабжения</t>
  </si>
  <si>
    <t>2.3 Обслуживание систем электроснабжения</t>
  </si>
  <si>
    <t>2.4 Обслуживание вентиляционных каналов и дымоходов</t>
  </si>
  <si>
    <t xml:space="preserve">2.5 Работы выполняемые в целях надлежащего содержания и ремонта лифта </t>
  </si>
  <si>
    <t>2.6 Расходы на электроэнергию лифтов</t>
  </si>
  <si>
    <t>2.7 Расходы на электроэнергию МОП</t>
  </si>
  <si>
    <t>2.8 Поверка подомовых приборов учета тепловой энергии</t>
  </si>
  <si>
    <t>III Работы и услуги по содержанию иного общего имущества в многоквартирном доме</t>
  </si>
  <si>
    <t>3.1 Уборка лестничных клеток</t>
  </si>
  <si>
    <t>3.2 Обслуживание территорий домовладений (подметание)</t>
  </si>
  <si>
    <t>3.3. Уборка контейнерных площадок</t>
  </si>
  <si>
    <t>3.4 Обслуживание мусоропроводов</t>
  </si>
  <si>
    <t>3.5 Дератизация и дезинсекция мест общего пользования,подвалов</t>
  </si>
  <si>
    <t>3.6 Ремонтно-аварийное обслуживание</t>
  </si>
  <si>
    <t>IV Расходы на управление жилищным фондом</t>
  </si>
  <si>
    <t>V Общие эксплуатационные расходы</t>
  </si>
  <si>
    <t>Итого тариф руб.на 1 м.кв. общей площади квартир</t>
  </si>
  <si>
    <t>Площадь, кв. м.</t>
  </si>
  <si>
    <t>Сумма</t>
  </si>
  <si>
    <t>руб./м²</t>
  </si>
  <si>
    <t>Наименование услуг или работ</t>
  </si>
  <si>
    <t>Экономист</t>
  </si>
  <si>
    <t>____________________</t>
  </si>
  <si>
    <t>Старостюк И.В.</t>
  </si>
  <si>
    <t>руб.</t>
  </si>
  <si>
    <t>Всего расходов по полной себестоимости</t>
  </si>
  <si>
    <t>Заработная плата рабочих</t>
  </si>
  <si>
    <t>Отчисления на социальные нужды</t>
  </si>
  <si>
    <t>Материалы</t>
  </si>
  <si>
    <t>Тариф на 1 кв.м.</t>
  </si>
  <si>
    <t>Услуги сторонних организаций (стоимость по договору)</t>
  </si>
  <si>
    <t>согласно тарифа на электроэнергию (договор с ГУП РК "Крымэнерго)</t>
  </si>
  <si>
    <t>год</t>
  </si>
  <si>
    <t>месяц</t>
  </si>
  <si>
    <t>ПЛАН</t>
  </si>
  <si>
    <t>ФАКТ</t>
  </si>
  <si>
    <t>__________________</t>
  </si>
  <si>
    <t>МУП "Ремонтно-эксплуатационная организация - 1" г.Ялта</t>
  </si>
  <si>
    <t>Начальник</t>
  </si>
  <si>
    <t>Журавлев Ю.Л.</t>
  </si>
  <si>
    <t>Почтово - телеграфные и телефонные расходы</t>
  </si>
  <si>
    <t>Услуги банка</t>
  </si>
  <si>
    <t>Канцелярские товары</t>
  </si>
  <si>
    <t>Консультационные, информационные, аудиторские услуги</t>
  </si>
  <si>
    <t>Амортизационные отчисления</t>
  </si>
  <si>
    <t>Содержание и ремонт зданий, сооружений, машин, оборудования, инвентаря и другого имущества</t>
  </si>
  <si>
    <t>отопление</t>
  </si>
  <si>
    <t>вода</t>
  </si>
  <si>
    <t>электроэнергия</t>
  </si>
  <si>
    <t>техинвентаризация</t>
  </si>
  <si>
    <t>ремонт автотранспорта, запчасти</t>
  </si>
  <si>
    <t>горюче-смазочные материалы</t>
  </si>
  <si>
    <t>страхование транспортных средств</t>
  </si>
  <si>
    <t>Расходы на обслуживание работников производства</t>
  </si>
  <si>
    <t>подготовка и переподготовка кадров</t>
  </si>
  <si>
    <t>СИЗ и инвентарь</t>
  </si>
  <si>
    <t>Расходы по организации работ</t>
  </si>
  <si>
    <t>износ и списание МБП</t>
  </si>
  <si>
    <t>Вывоз мусора с территории жил.фонда</t>
  </si>
  <si>
    <t>Прочие общепроизводственные расходы</t>
  </si>
  <si>
    <t>Административно-управленческие расходы</t>
  </si>
  <si>
    <t>Общепроизводственные расходы</t>
  </si>
  <si>
    <t>Отклонение</t>
  </si>
  <si>
    <t>(гр. 3- гр. 4 = гр.5)</t>
  </si>
  <si>
    <t>Заработная плата рабочих (Печник)</t>
  </si>
  <si>
    <t>2.6 и 2.7  Расходы на электроэнергию лифтов и МОП</t>
  </si>
  <si>
    <t>договор с ГУП РК "Крымэнерго (счет, акт с 01.01.2020 по 30.06.2020г)</t>
  </si>
  <si>
    <t>Содержание компьютерной техники</t>
  </si>
  <si>
    <t>Командировки и перемещения</t>
  </si>
  <si>
    <t>охрана труда и техника безопасности</t>
  </si>
  <si>
    <t>содержание пожарной и сторожевой охраны, производственных мастерских</t>
  </si>
  <si>
    <t>IV и V Расходы на управление жилищным фондом и  Общие эксплуатационные расходы</t>
  </si>
  <si>
    <t>Калькуляция себестоимости услуг по содержанию домов, сооружений и придомовых территорий</t>
  </si>
  <si>
    <t xml:space="preserve">Тариф на услуги по содержанию домов, сооружений и придомовой территорий  </t>
  </si>
  <si>
    <t xml:space="preserve">Материалы </t>
  </si>
  <si>
    <t xml:space="preserve">Договор на обслуживание лифтов </t>
  </si>
  <si>
    <r>
      <t xml:space="preserve">Заработная плата работников АУП </t>
    </r>
    <r>
      <rPr>
        <sz val="10"/>
        <color indexed="8"/>
        <rFont val="Times New Roman"/>
        <family val="1"/>
        <charset val="204"/>
      </rPr>
      <t>(начальник, бухгалтера, секретарь и пр.)</t>
    </r>
  </si>
  <si>
    <r>
      <t xml:space="preserve">Заработная плата работников общего производства </t>
    </r>
    <r>
      <rPr>
        <sz val="11"/>
        <color indexed="8"/>
        <rFont val="Times New Roman"/>
        <family val="1"/>
        <charset val="204"/>
      </rPr>
      <t>(инженеры, кладовщики, водители, мастера,  и пр.)</t>
    </r>
  </si>
  <si>
    <t xml:space="preserve"> за период с 01.01.2019  по 31.12.2019</t>
  </si>
  <si>
    <t>Заработная плата работников АУП (начальник, бухгалтера, секретарь и пр.)</t>
  </si>
  <si>
    <t>Обслуживание компьютерной и оргтехники, локальной сети, заправка катриджа</t>
  </si>
  <si>
    <t>Расходы на программное обеспечение, электронные сервисы, технологическую поддержку ПО</t>
  </si>
  <si>
    <t>природный газ</t>
  </si>
  <si>
    <t>Топливо,горюче-смазочные материалы</t>
  </si>
  <si>
    <t>мед.осмотр.</t>
  </si>
  <si>
    <t>Заработная плата работников общего производства (кладовщики, водители, мастера, инженеры и пр.)</t>
  </si>
  <si>
    <t>договор с ГУП РК "Крымэнерго (счет, акт )</t>
  </si>
  <si>
    <t>каменщик 3р.</t>
  </si>
  <si>
    <t>плотник 4р.</t>
  </si>
  <si>
    <t>штукатур 4р.</t>
  </si>
  <si>
    <t>маляр 3р.</t>
  </si>
  <si>
    <t>маляр 2р.</t>
  </si>
  <si>
    <t>столяр 3р.</t>
  </si>
  <si>
    <t>подсобный раб</t>
  </si>
  <si>
    <t>кровельщик 3р.</t>
  </si>
  <si>
    <t>слесарь-сантехник 5р</t>
  </si>
  <si>
    <t>электрогазосварщик 5р.</t>
  </si>
  <si>
    <t>электрик 4р.</t>
  </si>
  <si>
    <t>печник 4р.</t>
  </si>
  <si>
    <t>Номер по порядку</t>
  </si>
  <si>
    <t>Текущий год</t>
  </si>
  <si>
    <t>Год постройки</t>
  </si>
  <si>
    <t>Срок эксплуатации</t>
  </si>
  <si>
    <t>Общая площадь дома</t>
  </si>
  <si>
    <t>Площадь дома без балконов и лоджий</t>
  </si>
  <si>
    <t>Наличие централизованного отопления</t>
  </si>
  <si>
    <t>Площадь квартир с централизованным отоплением</t>
  </si>
  <si>
    <t>Этажность дома</t>
  </si>
  <si>
    <t>Количество квартир</t>
  </si>
  <si>
    <t>Всего квартир</t>
  </si>
  <si>
    <t>которые оборудованы ванными</t>
  </si>
  <si>
    <t>которые не оборудованы ванными</t>
  </si>
  <si>
    <t>со скрытой электро-проводкой</t>
  </si>
  <si>
    <t>с открытой электро-проводкой</t>
  </si>
  <si>
    <t>Количество проживающих</t>
  </si>
  <si>
    <t>Площадь кровель</t>
  </si>
  <si>
    <t>из кровельной стали</t>
  </si>
  <si>
    <t>из рубероида, толи и др. рулонных материалов</t>
  </si>
  <si>
    <t>из шифера, черепицы и др. штучных материалов</t>
  </si>
  <si>
    <t>Площадь МКД по материалу стен, перекрытий:</t>
  </si>
  <si>
    <t>кирпичные и каменные здания</t>
  </si>
  <si>
    <t>крупнопанельные блочные здания</t>
  </si>
  <si>
    <t>деревянные здания и из других материалов</t>
  </si>
  <si>
    <t>Площадь подвала</t>
  </si>
  <si>
    <t>Площадь подъезда</t>
  </si>
  <si>
    <t>Площадь придомовой территории</t>
  </si>
  <si>
    <t>с усовершенствованным покрытием</t>
  </si>
  <si>
    <t>без покрытий</t>
  </si>
  <si>
    <t>газоны</t>
  </si>
  <si>
    <t>Местоположение контейнера мусоропровода</t>
  </si>
  <si>
    <t>на 1-м этаже</t>
  </si>
  <si>
    <t>в цоколе</t>
  </si>
  <si>
    <t>Количество теплосчетчиков</t>
  </si>
  <si>
    <t>Период поверки теплосчетчика</t>
  </si>
  <si>
    <t>Расход  электроэнергии лифтов, кВт, (за прошлый год)</t>
  </si>
  <si>
    <t>Расход электроэнергии МОП, кВт,  (за прошлый год)</t>
  </si>
  <si>
    <t>Площадь контейнерных площадок, м.кв.</t>
  </si>
  <si>
    <t>да</t>
  </si>
  <si>
    <t>РЕЧНАЯ, 4А</t>
  </si>
  <si>
    <t>Дворник 1р.</t>
  </si>
  <si>
    <t>Уборщик мусоропровода 1р.</t>
  </si>
  <si>
    <r>
      <t>Заработная плата рабочих (</t>
    </r>
    <r>
      <rPr>
        <sz val="12"/>
        <rFont val="Times New Roman"/>
        <family val="1"/>
        <charset val="204"/>
      </rPr>
      <t>Дворник</t>
    </r>
    <r>
      <rPr>
        <sz val="12"/>
        <color indexed="8"/>
        <rFont val="Times New Roman"/>
        <family val="1"/>
        <charset val="204"/>
      </rPr>
      <t>)</t>
    </r>
  </si>
  <si>
    <t>Заработная плата рабочих (Уборщик мусоропроводов)</t>
  </si>
  <si>
    <t xml:space="preserve"> за период с 01.01.2020  по 31.12.2020</t>
  </si>
  <si>
    <t>Речная, 4А</t>
  </si>
  <si>
    <t>с 01.10.2021</t>
  </si>
  <si>
    <t>ТАРИФ</t>
  </si>
  <si>
    <t>Итого в месяц</t>
  </si>
  <si>
    <t>Итого в год</t>
  </si>
  <si>
    <t>I. Обслуживание конструктивных элементов жилых зданий*</t>
  </si>
  <si>
    <t>1.1. Содержание всех видов фундаментов, стен, перекрытий и покрытий, колонн и столбов, балок (ригелей) перекрытий, лестниц, перегородок</t>
  </si>
  <si>
    <t>1.2. Содержание фасадов, внутренней отделки</t>
  </si>
  <si>
    <t>1.3. Содержание полов, оконных и дверных заполнений помещений, относящихся к общему имуществу</t>
  </si>
  <si>
    <t>1.4. Содержание подвалов</t>
  </si>
  <si>
    <t>1.5. Содержание крыш</t>
  </si>
  <si>
    <t>II. Обслуживание внутридомового инженерного оборудования</t>
  </si>
  <si>
    <t>2.1. Обслуживание систем холодного водоснабжения и водоотведения</t>
  </si>
  <si>
    <t>2.2. Обслуживание систем теплоснабжения</t>
  </si>
  <si>
    <t>2.3. Обслуживание систем электроснабжения</t>
  </si>
  <si>
    <t>2.4. Обслуживание вентиляционных каналов и дымоходов</t>
  </si>
  <si>
    <t>2.5 Техническое обслуживание лифта (лифтов) в многоквартирном доме, в том числе: - техническое обслуживание лифтов; -аварийное обслуживание лифтов; -диспетчерский контроль и техническое обслуживание систем диспетчерской связи лифтов; - страхование обязательной гражданской ответственности владельца опасного объекта (лифта);  -оценка соответствия лифтов, отработавших назначенный срок службы</t>
  </si>
  <si>
    <t>2.6. Техническое обслуживание внутридомового газового оборудования</t>
  </si>
  <si>
    <t>2.7. Техническое диагностирование внутридомового газового оборудования</t>
  </si>
  <si>
    <t>2.8. Поверка и техническое обслуживание подомовых приборов учета тепловой энергии</t>
  </si>
  <si>
    <t>2.9. Обслуживание систем пожаротушения</t>
  </si>
  <si>
    <t>2.10. Обслуживание систем дымоудаления</t>
  </si>
  <si>
    <t>III. Содержание иного общего имущества в многоквартирном доме</t>
  </si>
  <si>
    <t>3.1. Уборка лестничных клеток</t>
  </si>
  <si>
    <t>3.2. Обслуживание территорий домовладений (подметание)</t>
  </si>
  <si>
    <t>3.4. Обслуживание мусоропроводов</t>
  </si>
  <si>
    <t>3.5. Дератизация и дезинсекция мест общего пользования, подвалов и мусоропроводов</t>
  </si>
  <si>
    <t>3.6. Аварийно-диспетчерское обслуживание</t>
  </si>
  <si>
    <t>IV. Расходы на управление жилищным фондом</t>
  </si>
  <si>
    <t>V.Общие эксплуатационные расходы</t>
  </si>
  <si>
    <t xml:space="preserve">ИТОГО тариф руб.на 1 м.кв. общей площади квартир </t>
  </si>
  <si>
    <t>VΙ. Расходы на коммунальные ресурсы, потребляемые при использовании и содержании общего имущества в многоквартином доме:</t>
  </si>
  <si>
    <t>6.1. Расходы на электроэнергию</t>
  </si>
  <si>
    <t>6.2. Расходы по водоснабжению и водоотведению</t>
  </si>
  <si>
    <t>3 мес</t>
  </si>
  <si>
    <t xml:space="preserve"> за период с 01.01.2021  по 31.12.2021</t>
  </si>
  <si>
    <t>Стоимость по договору</t>
  </si>
  <si>
    <t>Отчет по выполненным работам и  услугам по содержанию домов, сооружений и придомовых территорий</t>
  </si>
  <si>
    <t>Речная 4 А</t>
  </si>
  <si>
    <t>Задолженность населения на 31.12.2021, руб. (с учетом оплат на будущий период и корректировок)</t>
  </si>
  <si>
    <t>Оплата за 2021 г., руб. (с учетом оплат на будущий период)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</si>
</sst>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г_р_н_._-;\-* #,##0.00_г_р_н_._-;_-* &quot;-&quot;??_г_р_н_._-;_-@_-"/>
    <numFmt numFmtId="165" formatCode="0.0000"/>
    <numFmt numFmtId="166" formatCode="#,##0.0000"/>
    <numFmt numFmtId="167" formatCode="#,##0.0"/>
    <numFmt numFmtId="168" formatCode="#,##0.000"/>
    <numFmt numFmtId="169" formatCode="0.0"/>
    <numFmt numFmtId="170" formatCode="0.0000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/>
    <xf numFmtId="4" fontId="0" fillId="0" borderId="0" xfId="0" applyNumberFormat="1"/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6" fillId="0" borderId="1" xfId="0" applyNumberFormat="1" applyFont="1" applyFill="1" applyBorder="1"/>
    <xf numFmtId="0" fontId="9" fillId="0" borderId="1" xfId="0" applyFont="1" applyFill="1" applyBorder="1" applyAlignment="1">
      <alignment vertical="top" wrapText="1"/>
    </xf>
    <xf numFmtId="165" fontId="7" fillId="0" borderId="1" xfId="0" applyNumberFormat="1" applyFont="1" applyFill="1" applyBorder="1"/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5" fontId="12" fillId="2" borderId="1" xfId="0" applyNumberFormat="1" applyFont="1" applyFill="1" applyBorder="1"/>
    <xf numFmtId="0" fontId="7" fillId="0" borderId="0" xfId="0" applyFont="1" applyAlignment="1">
      <alignment horizontal="center"/>
    </xf>
    <xf numFmtId="4" fontId="7" fillId="0" borderId="0" xfId="0" applyNumberFormat="1" applyFont="1" applyFill="1" applyBorder="1"/>
    <xf numFmtId="4" fontId="6" fillId="0" borderId="1" xfId="0" applyNumberFormat="1" applyFont="1" applyBorder="1"/>
    <xf numFmtId="4" fontId="6" fillId="3" borderId="1" xfId="0" applyNumberFormat="1" applyFont="1" applyFill="1" applyBorder="1"/>
    <xf numFmtId="4" fontId="12" fillId="3" borderId="1" xfId="0" applyNumberFormat="1" applyFont="1" applyFill="1" applyBorder="1"/>
    <xf numFmtId="2" fontId="0" fillId="0" borderId="0" xfId="0" applyNumberFormat="1"/>
    <xf numFmtId="166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/>
    <xf numFmtId="4" fontId="6" fillId="0" borderId="2" xfId="0" applyNumberFormat="1" applyFont="1" applyBorder="1"/>
    <xf numFmtId="0" fontId="7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167" fontId="7" fillId="0" borderId="1" xfId="0" applyNumberFormat="1" applyFont="1" applyFill="1" applyBorder="1"/>
    <xf numFmtId="0" fontId="15" fillId="0" borderId="1" xfId="0" applyFont="1" applyFill="1" applyBorder="1" applyAlignment="1">
      <alignment vertical="top" wrapText="1"/>
    </xf>
    <xf numFmtId="0" fontId="16" fillId="0" borderId="0" xfId="0" applyFont="1"/>
    <xf numFmtId="0" fontId="17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left" vertical="top" wrapText="1" indent="3"/>
    </xf>
    <xf numFmtId="0" fontId="15" fillId="0" borderId="1" xfId="0" applyFont="1" applyFill="1" applyBorder="1" applyAlignment="1">
      <alignment horizontal="right" vertical="top" wrapText="1"/>
    </xf>
    <xf numFmtId="166" fontId="7" fillId="0" borderId="1" xfId="0" applyNumberFormat="1" applyFont="1" applyBorder="1"/>
    <xf numFmtId="0" fontId="15" fillId="0" borderId="0" xfId="0" applyFont="1" applyFill="1" applyBorder="1" applyAlignment="1">
      <alignment horizontal="right" vertical="top" wrapText="1"/>
    </xf>
    <xf numFmtId="166" fontId="7" fillId="0" borderId="0" xfId="0" applyNumberFormat="1" applyFont="1" applyBorder="1"/>
    <xf numFmtId="4" fontId="7" fillId="0" borderId="0" xfId="0" applyNumberFormat="1" applyFont="1"/>
    <xf numFmtId="0" fontId="19" fillId="0" borderId="0" xfId="0" applyFont="1" applyFill="1" applyBorder="1" applyAlignment="1">
      <alignment horizontal="center" vertical="top" wrapText="1"/>
    </xf>
    <xf numFmtId="166" fontId="18" fillId="0" borderId="0" xfId="0" applyNumberFormat="1" applyFont="1" applyBorder="1"/>
    <xf numFmtId="168" fontId="7" fillId="0" borderId="1" xfId="0" applyNumberFormat="1" applyFont="1" applyBorder="1"/>
    <xf numFmtId="4" fontId="16" fillId="0" borderId="0" xfId="0" applyNumberFormat="1" applyFont="1"/>
    <xf numFmtId="166" fontId="16" fillId="0" borderId="0" xfId="0" applyNumberFormat="1" applyFont="1" applyBorder="1"/>
    <xf numFmtId="166" fontId="4" fillId="0" borderId="0" xfId="0" applyNumberFormat="1" applyFont="1" applyBorder="1"/>
    <xf numFmtId="0" fontId="14" fillId="0" borderId="1" xfId="0" applyFont="1" applyBorder="1" applyAlignment="1">
      <alignment horizontal="center"/>
    </xf>
    <xf numFmtId="4" fontId="12" fillId="3" borderId="2" xfId="0" applyNumberFormat="1" applyFont="1" applyFill="1" applyBorder="1"/>
    <xf numFmtId="4" fontId="4" fillId="0" borderId="1" xfId="0" applyNumberFormat="1" applyFont="1" applyBorder="1"/>
    <xf numFmtId="167" fontId="7" fillId="0" borderId="0" xfId="0" applyNumberFormat="1" applyFont="1" applyFill="1" applyBorder="1"/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/>
    <xf numFmtId="4" fontId="12" fillId="2" borderId="1" xfId="0" applyNumberFormat="1" applyFont="1" applyFill="1" applyBorder="1"/>
    <xf numFmtId="0" fontId="18" fillId="0" borderId="0" xfId="0" applyFont="1" applyFill="1" applyBorder="1" applyAlignment="1">
      <alignment vertical="top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/>
    </xf>
    <xf numFmtId="0" fontId="13" fillId="2" borderId="1" xfId="0" applyFont="1" applyFill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 indent="2"/>
    </xf>
    <xf numFmtId="0" fontId="21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21" fillId="0" borderId="1" xfId="0" applyFont="1" applyBorder="1" applyAlignment="1">
      <alignment horizontal="left" vertical="center" wrapText="1" indent="5"/>
    </xf>
    <xf numFmtId="0" fontId="4" fillId="0" borderId="9" xfId="0" applyFont="1" applyBorder="1" applyAlignment="1">
      <alignment horizontal="left" vertical="top" wrapText="1" indent="3"/>
    </xf>
    <xf numFmtId="169" fontId="7" fillId="0" borderId="1" xfId="0" applyNumberFormat="1" applyFont="1" applyFill="1" applyBorder="1"/>
    <xf numFmtId="166" fontId="6" fillId="0" borderId="1" xfId="0" applyNumberFormat="1" applyFont="1" applyFill="1" applyBorder="1"/>
    <xf numFmtId="166" fontId="12" fillId="2" borderId="1" xfId="0" applyNumberFormat="1" applyFont="1" applyFill="1" applyBorder="1"/>
    <xf numFmtId="166" fontId="6" fillId="0" borderId="8" xfId="0" applyNumberFormat="1" applyFont="1" applyFill="1" applyBorder="1"/>
    <xf numFmtId="0" fontId="0" fillId="0" borderId="1" xfId="0" applyBorder="1"/>
    <xf numFmtId="4" fontId="6" fillId="0" borderId="8" xfId="0" applyNumberFormat="1" applyFont="1" applyFill="1" applyBorder="1"/>
    <xf numFmtId="2" fontId="4" fillId="0" borderId="1" xfId="0" applyNumberFormat="1" applyFont="1" applyBorder="1"/>
    <xf numFmtId="2" fontId="7" fillId="0" borderId="1" xfId="0" applyNumberFormat="1" applyFont="1" applyBorder="1"/>
    <xf numFmtId="0" fontId="4" fillId="0" borderId="1" xfId="0" applyFont="1" applyBorder="1" applyAlignment="1">
      <alignment horizontal="right"/>
    </xf>
    <xf numFmtId="4" fontId="5" fillId="0" borderId="1" xfId="0" applyNumberFormat="1" applyFont="1" applyBorder="1"/>
    <xf numFmtId="0" fontId="4" fillId="0" borderId="9" xfId="0" applyFont="1" applyBorder="1" applyAlignment="1">
      <alignment horizontal="left" vertical="top" wrapText="1" indent="5"/>
    </xf>
    <xf numFmtId="0" fontId="21" fillId="0" borderId="9" xfId="0" applyFont="1" applyBorder="1" applyAlignment="1">
      <alignment horizontal="left" vertical="top" wrapText="1" indent="5"/>
    </xf>
    <xf numFmtId="0" fontId="4" fillId="0" borderId="1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top" wrapText="1" indent="2"/>
    </xf>
    <xf numFmtId="166" fontId="12" fillId="3" borderId="2" xfId="0" applyNumberFormat="1" applyFont="1" applyFill="1" applyBorder="1"/>
    <xf numFmtId="0" fontId="0" fillId="0" borderId="0" xfId="0" applyBorder="1"/>
    <xf numFmtId="165" fontId="0" fillId="0" borderId="0" xfId="0" applyNumberFormat="1"/>
    <xf numFmtId="170" fontId="0" fillId="0" borderId="0" xfId="0" applyNumberFormat="1"/>
    <xf numFmtId="2" fontId="22" fillId="0" borderId="1" xfId="0" applyNumberFormat="1" applyFont="1" applyBorder="1"/>
    <xf numFmtId="2" fontId="0" fillId="0" borderId="1" xfId="0" applyNumberFormat="1" applyBorder="1"/>
    <xf numFmtId="4" fontId="6" fillId="0" borderId="0" xfId="0" applyNumberFormat="1" applyFont="1" applyBorder="1"/>
    <xf numFmtId="0" fontId="0" fillId="0" borderId="0" xfId="0" applyAlignment="1">
      <alignment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 indent="2"/>
    </xf>
    <xf numFmtId="0" fontId="23" fillId="0" borderId="3" xfId="0" applyFont="1" applyFill="1" applyBorder="1" applyAlignment="1">
      <alignment horizontal="left" vertical="center" wrapText="1" indent="1"/>
    </xf>
    <xf numFmtId="0" fontId="23" fillId="5" borderId="3" xfId="0" applyFont="1" applyFill="1" applyBorder="1" applyAlignment="1">
      <alignment horizontal="left" vertical="center" wrapText="1" indent="1"/>
    </xf>
    <xf numFmtId="0" fontId="23" fillId="0" borderId="3" xfId="0" applyFont="1" applyBorder="1" applyAlignment="1">
      <alignment horizontal="left" vertical="center" wrapText="1" inden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 indent="2"/>
    </xf>
    <xf numFmtId="0" fontId="24" fillId="0" borderId="0" xfId="0" applyFont="1" applyAlignment="1">
      <alignment vertical="center"/>
    </xf>
    <xf numFmtId="0" fontId="24" fillId="0" borderId="0" xfId="0" applyFont="1"/>
    <xf numFmtId="0" fontId="23" fillId="4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right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12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NumberFormat="1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22" fillId="0" borderId="1" xfId="0" applyFont="1" applyBorder="1" applyAlignment="1">
      <alignment vertical="top" wrapText="1"/>
    </xf>
    <xf numFmtId="165" fontId="22" fillId="0" borderId="1" xfId="0" applyNumberFormat="1" applyFont="1" applyBorder="1" applyAlignment="1">
      <alignment vertical="top"/>
    </xf>
    <xf numFmtId="4" fontId="22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165" fontId="0" fillId="0" borderId="1" xfId="0" applyNumberFormat="1" applyFont="1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65" fontId="0" fillId="0" borderId="1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165" fontId="0" fillId="0" borderId="1" xfId="0" applyNumberFormat="1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22" fillId="0" borderId="1" xfId="0" applyFont="1" applyFill="1" applyBorder="1" applyAlignment="1">
      <alignment vertical="top" wrapText="1"/>
    </xf>
    <xf numFmtId="165" fontId="22" fillId="0" borderId="1" xfId="0" applyNumberFormat="1" applyFont="1" applyFill="1" applyBorder="1" applyAlignment="1">
      <alignment vertical="top"/>
    </xf>
    <xf numFmtId="4" fontId="22" fillId="0" borderId="1" xfId="0" applyNumberFormat="1" applyFont="1" applyFill="1" applyBorder="1" applyAlignment="1">
      <alignment vertical="top"/>
    </xf>
    <xf numFmtId="165" fontId="0" fillId="0" borderId="1" xfId="0" applyNumberFormat="1" applyFont="1" applyBorder="1" applyAlignment="1">
      <alignment vertical="top"/>
    </xf>
    <xf numFmtId="165" fontId="0" fillId="0" borderId="1" xfId="0" applyNumberFormat="1" applyBorder="1" applyAlignment="1">
      <alignment vertical="top"/>
    </xf>
    <xf numFmtId="165" fontId="26" fillId="0" borderId="1" xfId="0" applyNumberFormat="1" applyFont="1" applyBorder="1" applyAlignment="1">
      <alignment vertical="top"/>
    </xf>
    <xf numFmtId="4" fontId="26" fillId="0" borderId="1" xfId="0" applyNumberFormat="1" applyFont="1" applyBorder="1" applyAlignment="1">
      <alignment vertical="top"/>
    </xf>
    <xf numFmtId="0" fontId="22" fillId="0" borderId="1" xfId="0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0" fontId="2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2" fontId="14" fillId="0" borderId="3" xfId="0" applyNumberFormat="1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0" borderId="1" xfId="0" applyFont="1" applyFill="1" applyBorder="1" applyAlignment="1">
      <alignment horizontal="left" vertical="top" wrapText="1"/>
    </xf>
    <xf numFmtId="166" fontId="16" fillId="0" borderId="1" xfId="0" applyNumberFormat="1" applyFont="1" applyBorder="1"/>
    <xf numFmtId="4" fontId="6" fillId="0" borderId="1" xfId="0" applyNumberFormat="1" applyFont="1" applyBorder="1" applyAlignment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tabSelected="1" topLeftCell="A36" zoomScaleNormal="100" workbookViewId="0">
      <selection sqref="A1:E124"/>
    </sheetView>
  </sheetViews>
  <sheetFormatPr defaultRowHeight="15" x14ac:dyDescent="0.25"/>
  <cols>
    <col min="1" max="1" width="69" style="1" customWidth="1"/>
    <col min="2" max="2" width="14.28515625" style="2" hidden="1" customWidth="1"/>
    <col min="3" max="3" width="13.7109375" style="2" hidden="1" customWidth="1"/>
    <col min="4" max="5" width="20" style="2" customWidth="1"/>
    <col min="6" max="6" width="19.28515625" style="2" customWidth="1"/>
    <col min="7" max="7" width="17.140625" style="2" customWidth="1"/>
    <col min="8" max="8" width="20.28515625" style="1" customWidth="1"/>
    <col min="9" max="9" width="12.28515625" style="1" customWidth="1"/>
    <col min="10" max="13" width="9.140625" style="1" customWidth="1"/>
    <col min="14" max="16384" width="9.140625" style="1"/>
  </cols>
  <sheetData>
    <row r="1" spans="1:11" ht="28.5" customHeight="1" x14ac:dyDescent="0.25">
      <c r="A1" s="154" t="s">
        <v>47</v>
      </c>
      <c r="B1" s="154"/>
      <c r="C1" s="154"/>
      <c r="D1" s="154"/>
      <c r="E1" s="154"/>
      <c r="F1" s="48"/>
    </row>
    <row r="2" spans="1:11" ht="30" customHeight="1" x14ac:dyDescent="0.25">
      <c r="A2" s="156" t="s">
        <v>191</v>
      </c>
      <c r="B2" s="156"/>
      <c r="C2" s="156"/>
      <c r="D2" s="156"/>
      <c r="E2" s="156"/>
      <c r="F2" s="48"/>
    </row>
    <row r="3" spans="1:11" ht="23.25" customHeight="1" x14ac:dyDescent="0.25">
      <c r="A3" s="144" t="s">
        <v>189</v>
      </c>
      <c r="B3" s="144"/>
      <c r="C3" s="144"/>
      <c r="D3" s="144"/>
      <c r="E3" s="144"/>
      <c r="F3" s="155"/>
      <c r="G3" s="20"/>
    </row>
    <row r="4" spans="1:11" ht="22.5" customHeight="1" x14ac:dyDescent="0.25">
      <c r="A4" s="57" t="s">
        <v>1</v>
      </c>
      <c r="B4" s="157" t="str">
        <f>тариф!B2</f>
        <v>РЕЧНАЯ, 4А</v>
      </c>
      <c r="C4" s="158"/>
      <c r="D4" s="146" t="s">
        <v>192</v>
      </c>
      <c r="E4" s="146"/>
      <c r="F4" s="159"/>
      <c r="G4" s="25"/>
    </row>
    <row r="5" spans="1:11" ht="20.25" customHeight="1" x14ac:dyDescent="0.25">
      <c r="A5" s="148" t="s">
        <v>30</v>
      </c>
      <c r="B5" s="151" t="s">
        <v>44</v>
      </c>
      <c r="C5" s="152"/>
      <c r="D5" s="153"/>
      <c r="E5" s="51" t="s">
        <v>45</v>
      </c>
      <c r="F5" s="51" t="s">
        <v>72</v>
      </c>
    </row>
    <row r="6" spans="1:11" ht="18" customHeight="1" x14ac:dyDescent="0.25">
      <c r="A6" s="149"/>
      <c r="B6" s="24" t="s">
        <v>43</v>
      </c>
      <c r="C6" s="24" t="s">
        <v>42</v>
      </c>
      <c r="D6" s="24" t="s">
        <v>42</v>
      </c>
      <c r="E6" s="24" t="s">
        <v>42</v>
      </c>
      <c r="F6" s="24" t="s">
        <v>73</v>
      </c>
      <c r="G6" s="26"/>
    </row>
    <row r="7" spans="1:11" ht="15.75" x14ac:dyDescent="0.25">
      <c r="A7" s="150"/>
      <c r="B7" s="34" t="s">
        <v>34</v>
      </c>
      <c r="C7" s="34" t="s">
        <v>34</v>
      </c>
      <c r="D7" s="34" t="s">
        <v>34</v>
      </c>
      <c r="E7" s="34" t="s">
        <v>34</v>
      </c>
      <c r="F7" s="34" t="s">
        <v>34</v>
      </c>
      <c r="G7" s="21"/>
    </row>
    <row r="8" spans="1:11" ht="15.75" x14ac:dyDescent="0.25">
      <c r="A8" s="55">
        <v>1</v>
      </c>
      <c r="B8" s="56">
        <v>2</v>
      </c>
      <c r="C8" s="56"/>
      <c r="D8" s="56">
        <v>3</v>
      </c>
      <c r="E8" s="56">
        <v>4</v>
      </c>
      <c r="F8" s="56">
        <v>5</v>
      </c>
      <c r="G8" s="21"/>
    </row>
    <row r="9" spans="1:11" ht="17.25" customHeight="1" x14ac:dyDescent="0.25">
      <c r="A9" s="29" t="s">
        <v>2</v>
      </c>
      <c r="B9" s="15"/>
      <c r="C9" s="15">
        <f>C10+C15+C20+C25+C30</f>
        <v>0</v>
      </c>
      <c r="D9" s="15">
        <f t="shared" ref="D9:E9" si="0">D10+D15+D20+D25+D30</f>
        <v>14729.0313456</v>
      </c>
      <c r="E9" s="15">
        <f t="shared" si="0"/>
        <v>228426</v>
      </c>
      <c r="F9" s="15">
        <f>D9-E9</f>
        <v>-213696.9686544</v>
      </c>
      <c r="G9" s="23"/>
      <c r="H9" s="23"/>
    </row>
    <row r="10" spans="1:11" ht="63.75" customHeight="1" x14ac:dyDescent="0.25">
      <c r="A10" s="31" t="s">
        <v>3</v>
      </c>
      <c r="B10" s="35"/>
      <c r="C10" s="35">
        <f>B10*12</f>
        <v>0</v>
      </c>
      <c r="D10" s="35">
        <f>'тариф 01.10.21'!C4*3+тариф!C6*9</f>
        <v>1494.2495567999999</v>
      </c>
      <c r="E10" s="35">
        <f>SUM(E11:E14)</f>
        <v>0</v>
      </c>
      <c r="F10" s="15">
        <f t="shared" ref="F10:F72" si="1">D10-E10</f>
        <v>1494.2495567999999</v>
      </c>
      <c r="G10" s="22"/>
      <c r="H10" s="1" t="s">
        <v>97</v>
      </c>
      <c r="I10" s="1" t="s">
        <v>98</v>
      </c>
    </row>
    <row r="11" spans="1:11" ht="17.25" hidden="1" customHeight="1" x14ac:dyDescent="0.25">
      <c r="A11" s="36" t="s">
        <v>36</v>
      </c>
      <c r="B11" s="35"/>
      <c r="C11" s="35"/>
      <c r="D11" s="35"/>
      <c r="E11" s="35">
        <v>0</v>
      </c>
      <c r="F11" s="15"/>
      <c r="G11" s="22">
        <f>H14+I14</f>
        <v>1111.548783852</v>
      </c>
      <c r="H11" s="18">
        <v>20387</v>
      </c>
      <c r="I11" s="1">
        <v>22182</v>
      </c>
      <c r="K11" s="18"/>
    </row>
    <row r="12" spans="1:11" ht="14.25" hidden="1" customHeight="1" x14ac:dyDescent="0.25">
      <c r="A12" s="36" t="s">
        <v>37</v>
      </c>
      <c r="B12" s="35"/>
      <c r="C12" s="35"/>
      <c r="D12" s="35"/>
      <c r="E12" s="35">
        <v>0</v>
      </c>
      <c r="F12" s="15"/>
      <c r="G12" s="22">
        <f>G11*0.302</f>
        <v>335.68773272330401</v>
      </c>
      <c r="H12" s="90">
        <f>('ТХ МКД'!B7+'ТХ МКД'!B28*0.5)*0.0111/1000</f>
        <v>3.5674289999999997E-2</v>
      </c>
      <c r="I12" s="90">
        <f>('ТХ МКД'!B7+'ТХ МКД'!B28*0.5)*0.00539/1000</f>
        <v>1.7322921000000002E-2</v>
      </c>
    </row>
    <row r="13" spans="1:11" ht="14.25" hidden="1" customHeight="1" x14ac:dyDescent="0.25">
      <c r="A13" s="36" t="s">
        <v>38</v>
      </c>
      <c r="B13" s="35"/>
      <c r="C13" s="35"/>
      <c r="D13" s="35"/>
      <c r="E13" s="35">
        <v>0</v>
      </c>
      <c r="F13" s="15"/>
      <c r="G13" s="22"/>
      <c r="H13" s="90">
        <f>H12*0.109</f>
        <v>3.8884976099999996E-3</v>
      </c>
      <c r="I13" s="90">
        <f>I12*0.1339</f>
        <v>2.3195391218999999E-3</v>
      </c>
    </row>
    <row r="14" spans="1:11" ht="14.25" hidden="1" customHeight="1" x14ac:dyDescent="0.25">
      <c r="A14" s="36" t="s">
        <v>0</v>
      </c>
      <c r="B14" s="35"/>
      <c r="C14" s="35"/>
      <c r="D14" s="35"/>
      <c r="E14" s="35">
        <v>0</v>
      </c>
      <c r="F14" s="15"/>
      <c r="G14" s="22"/>
      <c r="H14" s="92">
        <f>H11*H12</f>
        <v>727.29175022999993</v>
      </c>
      <c r="I14" s="92">
        <f>I11*I12</f>
        <v>384.25703362200005</v>
      </c>
    </row>
    <row r="15" spans="1:11" ht="33.75" customHeight="1" x14ac:dyDescent="0.25">
      <c r="A15" s="31" t="s">
        <v>4</v>
      </c>
      <c r="B15" s="35"/>
      <c r="C15" s="35">
        <f>B15*12</f>
        <v>0</v>
      </c>
      <c r="D15" s="35">
        <f>'тариф 01.10.21'!C5*3+тариф!C7*9</f>
        <v>7282.0408596000007</v>
      </c>
      <c r="E15" s="35">
        <v>33267</v>
      </c>
      <c r="F15" s="15">
        <f t="shared" si="1"/>
        <v>-25984.959140399998</v>
      </c>
      <c r="G15" s="22"/>
      <c r="H15" s="1" t="s">
        <v>99</v>
      </c>
      <c r="I15" s="1" t="s">
        <v>100</v>
      </c>
    </row>
    <row r="16" spans="1:11" ht="14.25" hidden="1" customHeight="1" x14ac:dyDescent="0.25">
      <c r="A16" s="37" t="s">
        <v>36</v>
      </c>
      <c r="B16" s="35"/>
      <c r="C16" s="35"/>
      <c r="D16" s="35"/>
      <c r="E16" s="35">
        <v>0</v>
      </c>
      <c r="F16" s="15"/>
      <c r="G16" s="22">
        <f>H19+I19</f>
        <v>1632.0481485749999</v>
      </c>
      <c r="H16" s="1">
        <v>22182</v>
      </c>
      <c r="I16" s="1">
        <v>20387</v>
      </c>
    </row>
    <row r="17" spans="1:9" ht="14.25" hidden="1" customHeight="1" x14ac:dyDescent="0.25">
      <c r="A17" s="37" t="s">
        <v>37</v>
      </c>
      <c r="B17" s="35"/>
      <c r="C17" s="35"/>
      <c r="D17" s="35"/>
      <c r="E17" s="35">
        <v>0</v>
      </c>
      <c r="F17" s="15"/>
      <c r="G17" s="22">
        <f>G16*0.302</f>
        <v>492.87854086964995</v>
      </c>
      <c r="H17" s="90">
        <f>('ТХ МКД'!B7+'ТХ МКД'!B28*0.5)*0.0018/1000</f>
        <v>5.7850200000000001E-3</v>
      </c>
      <c r="I17" s="90">
        <f>('ТХ МКД'!B7+'ТХ МКД'!B28*0.5)*0.02295/1000</f>
        <v>7.3759005000000002E-2</v>
      </c>
    </row>
    <row r="18" spans="1:9" ht="14.25" hidden="1" customHeight="1" x14ac:dyDescent="0.25">
      <c r="A18" s="37" t="s">
        <v>38</v>
      </c>
      <c r="B18" s="35"/>
      <c r="C18" s="35"/>
      <c r="D18" s="35"/>
      <c r="E18" s="35">
        <v>0</v>
      </c>
      <c r="F18" s="15"/>
      <c r="G18" s="22"/>
      <c r="H18" s="90">
        <f>H17*0.5079</f>
        <v>2.938211658E-3</v>
      </c>
      <c r="I18" s="90">
        <f>I17*0.2671</f>
        <v>1.9701030235499999E-2</v>
      </c>
    </row>
    <row r="19" spans="1:9" ht="14.25" hidden="1" customHeight="1" x14ac:dyDescent="0.25">
      <c r="A19" s="37" t="s">
        <v>0</v>
      </c>
      <c r="B19" s="35"/>
      <c r="C19" s="35"/>
      <c r="D19" s="35"/>
      <c r="E19" s="35">
        <v>0</v>
      </c>
      <c r="F19" s="15"/>
      <c r="G19" s="22"/>
      <c r="H19" s="92">
        <f>H16*H17</f>
        <v>128.32331364000001</v>
      </c>
      <c r="I19" s="92">
        <f>I16*I17</f>
        <v>1503.724834935</v>
      </c>
    </row>
    <row r="20" spans="1:9" ht="48" customHeight="1" x14ac:dyDescent="0.25">
      <c r="A20" s="31" t="s">
        <v>5</v>
      </c>
      <c r="B20" s="35"/>
      <c r="C20" s="35">
        <f>B20*12</f>
        <v>0</v>
      </c>
      <c r="D20" s="35">
        <f>'тариф 01.10.21'!C6*3+тариф!C8*9</f>
        <v>698.61018239999999</v>
      </c>
      <c r="E20" s="35">
        <v>125940</v>
      </c>
      <c r="F20" s="15">
        <f t="shared" si="1"/>
        <v>-125241.38981759999</v>
      </c>
      <c r="G20" s="22"/>
      <c r="H20" s="1" t="s">
        <v>102</v>
      </c>
    </row>
    <row r="21" spans="1:9" ht="15.75" hidden="1" x14ac:dyDescent="0.25">
      <c r="A21" s="37" t="s">
        <v>36</v>
      </c>
      <c r="B21" s="35"/>
      <c r="C21" s="35"/>
      <c r="D21" s="35"/>
      <c r="E21" s="35">
        <v>0</v>
      </c>
      <c r="F21" s="15"/>
      <c r="G21" s="22">
        <f>H24</f>
        <v>69.354541301932798</v>
      </c>
      <c r="H21" s="1">
        <v>20387</v>
      </c>
    </row>
    <row r="22" spans="1:9" ht="15.75" hidden="1" x14ac:dyDescent="0.25">
      <c r="A22" s="37" t="s">
        <v>37</v>
      </c>
      <c r="B22" s="35"/>
      <c r="C22" s="35"/>
      <c r="D22" s="35"/>
      <c r="E22" s="35">
        <v>0</v>
      </c>
      <c r="F22" s="15"/>
      <c r="G22" s="22">
        <f>G21*0.302</f>
        <v>20.945071473183706</v>
      </c>
      <c r="H22" s="90">
        <f>('ТХ МКД'!B7+'ТХ МКД'!B28*0.5)*0.00888/1000</f>
        <v>2.8539432E-2</v>
      </c>
    </row>
    <row r="23" spans="1:9" ht="15.75" hidden="1" x14ac:dyDescent="0.25">
      <c r="A23" s="37" t="s">
        <v>38</v>
      </c>
      <c r="B23" s="35"/>
      <c r="C23" s="35"/>
      <c r="D23" s="35"/>
      <c r="E23" s="35">
        <v>0</v>
      </c>
      <c r="F23" s="15"/>
      <c r="G23" s="22"/>
      <c r="H23" s="90">
        <f>H22*0.1192</f>
        <v>3.4019002943999998E-3</v>
      </c>
      <c r="I23" s="2"/>
    </row>
    <row r="24" spans="1:9" ht="15.75" hidden="1" x14ac:dyDescent="0.25">
      <c r="A24" s="37" t="s">
        <v>0</v>
      </c>
      <c r="B24" s="35"/>
      <c r="C24" s="35"/>
      <c r="D24" s="35"/>
      <c r="E24" s="35">
        <v>0</v>
      </c>
      <c r="F24" s="15"/>
      <c r="G24" s="22"/>
      <c r="H24" s="92">
        <f>H21*H23</f>
        <v>69.354541301932798</v>
      </c>
    </row>
    <row r="25" spans="1:9" ht="15.75" x14ac:dyDescent="0.25">
      <c r="A25" s="31" t="s">
        <v>6</v>
      </c>
      <c r="B25" s="35"/>
      <c r="C25" s="35">
        <f>B25*12</f>
        <v>0</v>
      </c>
      <c r="D25" s="35">
        <f>'тариф 01.10.21'!C7*3+тариф!C9*9</f>
        <v>1969.6925975999998</v>
      </c>
      <c r="E25" s="35">
        <v>58605</v>
      </c>
      <c r="F25" s="15">
        <f t="shared" si="1"/>
        <v>-56635.307402400002</v>
      </c>
      <c r="G25" s="22"/>
      <c r="H25" s="1" t="s">
        <v>103</v>
      </c>
    </row>
    <row r="26" spans="1:9" ht="15.75" hidden="1" x14ac:dyDescent="0.25">
      <c r="A26" s="37" t="s">
        <v>36</v>
      </c>
      <c r="B26" s="35"/>
      <c r="C26" s="35"/>
      <c r="D26" s="35"/>
      <c r="E26" s="35">
        <v>0</v>
      </c>
      <c r="F26" s="15"/>
      <c r="G26" s="22">
        <f>H28</f>
        <v>104.90870646</v>
      </c>
      <c r="H26" s="1">
        <v>12822</v>
      </c>
    </row>
    <row r="27" spans="1:9" ht="15.75" hidden="1" x14ac:dyDescent="0.25">
      <c r="A27" s="37" t="s">
        <v>37</v>
      </c>
      <c r="B27" s="35"/>
      <c r="C27" s="35"/>
      <c r="D27" s="35"/>
      <c r="E27" s="35">
        <v>0</v>
      </c>
      <c r="F27" s="15"/>
      <c r="G27" s="22">
        <f>G26*0.302</f>
        <v>31.68242935092</v>
      </c>
      <c r="H27" s="90">
        <f>'ТХ МКД'!B27*0.0263/1000</f>
        <v>8.1819300000000005E-3</v>
      </c>
    </row>
    <row r="28" spans="1:9" ht="15.75" hidden="1" x14ac:dyDescent="0.25">
      <c r="A28" s="37" t="s">
        <v>38</v>
      </c>
      <c r="B28" s="35"/>
      <c r="C28" s="35"/>
      <c r="D28" s="35"/>
      <c r="E28" s="35">
        <v>0</v>
      </c>
      <c r="F28" s="15"/>
      <c r="G28" s="22"/>
      <c r="H28" s="92">
        <f>H26*H27</f>
        <v>104.90870646</v>
      </c>
      <c r="I28" s="2"/>
    </row>
    <row r="29" spans="1:9" ht="15.75" hidden="1" x14ac:dyDescent="0.25">
      <c r="A29" s="37" t="s">
        <v>0</v>
      </c>
      <c r="B29" s="35"/>
      <c r="C29" s="35"/>
      <c r="D29" s="35"/>
      <c r="E29" s="35">
        <v>0</v>
      </c>
      <c r="F29" s="15"/>
      <c r="G29" s="22"/>
    </row>
    <row r="30" spans="1:9" ht="16.5" customHeight="1" x14ac:dyDescent="0.25">
      <c r="A30" s="31" t="s">
        <v>7</v>
      </c>
      <c r="B30" s="35"/>
      <c r="C30" s="35">
        <f>B30*12</f>
        <v>0</v>
      </c>
      <c r="D30" s="35">
        <f>'тариф 01.10.21'!C8*3+тариф!C10*9</f>
        <v>3284.4381492000002</v>
      </c>
      <c r="E30" s="35">
        <v>10614</v>
      </c>
      <c r="F30" s="15">
        <f t="shared" si="1"/>
        <v>-7329.5618507999998</v>
      </c>
      <c r="G30" s="22"/>
      <c r="H30" s="1" t="s">
        <v>104</v>
      </c>
    </row>
    <row r="31" spans="1:9" ht="15.75" hidden="1" x14ac:dyDescent="0.25">
      <c r="A31" s="37" t="s">
        <v>36</v>
      </c>
      <c r="B31" s="35"/>
      <c r="C31" s="35"/>
      <c r="D31" s="35"/>
      <c r="E31" s="35"/>
      <c r="F31" s="15"/>
      <c r="G31" s="22">
        <f>H34</f>
        <v>74.261658147488006</v>
      </c>
      <c r="H31" s="1">
        <v>20387</v>
      </c>
    </row>
    <row r="32" spans="1:9" ht="15.75" hidden="1" x14ac:dyDescent="0.25">
      <c r="A32" s="37" t="s">
        <v>37</v>
      </c>
      <c r="B32" s="35"/>
      <c r="C32" s="35"/>
      <c r="D32" s="35"/>
      <c r="E32" s="35"/>
      <c r="F32" s="15"/>
      <c r="G32" s="22">
        <f>G31*0.302</f>
        <v>22.427020760541378</v>
      </c>
      <c r="H32" s="90">
        <f>'ТХ МКД'!B21/1000*0.0763</f>
        <v>2.3561440000000003E-2</v>
      </c>
    </row>
    <row r="33" spans="1:9" ht="15.75" hidden="1" customHeight="1" x14ac:dyDescent="0.25">
      <c r="A33" s="37" t="s">
        <v>84</v>
      </c>
      <c r="B33" s="35"/>
      <c r="C33" s="35"/>
      <c r="D33" s="35"/>
      <c r="E33" s="35"/>
      <c r="F33" s="15"/>
      <c r="G33" s="22"/>
      <c r="H33" s="90">
        <f>H32*0.1546</f>
        <v>3.642598624E-3</v>
      </c>
      <c r="I33" s="2"/>
    </row>
    <row r="34" spans="1:9" ht="15.75" hidden="1" x14ac:dyDescent="0.25">
      <c r="A34" s="37" t="s">
        <v>0</v>
      </c>
      <c r="B34" s="35"/>
      <c r="C34" s="35"/>
      <c r="D34" s="35"/>
      <c r="E34" s="35"/>
      <c r="F34" s="15"/>
      <c r="G34" s="22"/>
      <c r="H34" s="92">
        <f>H31*H33</f>
        <v>74.261658147488006</v>
      </c>
    </row>
    <row r="35" spans="1:9" ht="31.5" x14ac:dyDescent="0.25">
      <c r="A35" s="29" t="s">
        <v>8</v>
      </c>
      <c r="B35" s="15"/>
      <c r="C35" s="15">
        <f t="shared" ref="C35:D35" si="2">C36+C41+C46+C51+C56+C58+C60+C62</f>
        <v>0</v>
      </c>
      <c r="D35" s="15">
        <f t="shared" si="2"/>
        <v>133928.85014339999</v>
      </c>
      <c r="E35" s="15">
        <f>E36+E41+E46+E51+E56+E58+E60+E62</f>
        <v>196151</v>
      </c>
      <c r="F35" s="15">
        <f t="shared" si="1"/>
        <v>-62222.149856600008</v>
      </c>
      <c r="G35" s="23"/>
      <c r="H35" s="94"/>
    </row>
    <row r="36" spans="1:9" ht="31.5" customHeight="1" x14ac:dyDescent="0.25">
      <c r="A36" s="31" t="s">
        <v>9</v>
      </c>
      <c r="B36" s="35"/>
      <c r="C36" s="35">
        <f>B36*12</f>
        <v>0</v>
      </c>
      <c r="D36" s="35">
        <f>'тариф 01.10.21'!C10*3+тариф!C13*9</f>
        <v>27342.8263056</v>
      </c>
      <c r="E36" s="35">
        <v>2010</v>
      </c>
      <c r="F36" s="15">
        <f t="shared" si="1"/>
        <v>25332.8263056</v>
      </c>
      <c r="G36" s="22"/>
      <c r="H36" s="95" t="s">
        <v>105</v>
      </c>
      <c r="I36" s="1" t="s">
        <v>106</v>
      </c>
    </row>
    <row r="37" spans="1:9" ht="15.75" hidden="1" x14ac:dyDescent="0.25">
      <c r="A37" s="37" t="s">
        <v>36</v>
      </c>
      <c r="B37" s="35"/>
      <c r="C37" s="35"/>
      <c r="D37" s="35"/>
      <c r="E37" s="35">
        <v>0</v>
      </c>
      <c r="F37" s="15"/>
      <c r="G37" s="22">
        <f>H40+I40</f>
        <v>3808.1537624547695</v>
      </c>
      <c r="H37" s="1">
        <v>23336</v>
      </c>
      <c r="I37" s="1">
        <v>23336</v>
      </c>
    </row>
    <row r="38" spans="1:9" ht="15.75" hidden="1" x14ac:dyDescent="0.25">
      <c r="A38" s="37" t="s">
        <v>37</v>
      </c>
      <c r="B38" s="35"/>
      <c r="C38" s="35"/>
      <c r="D38" s="35"/>
      <c r="E38" s="35">
        <v>0</v>
      </c>
      <c r="F38" s="15"/>
      <c r="G38" s="22">
        <f>G37*0.302</f>
        <v>1150.0624362613403</v>
      </c>
      <c r="H38" s="90">
        <f>'ТХ МКД'!B14/325</f>
        <v>0.11076923076923077</v>
      </c>
      <c r="I38" s="90">
        <f>('ТХ МКД'!B7+'ТХ МКД'!B28*0.5)*0.01631/1000</f>
        <v>5.2418709000000008E-2</v>
      </c>
    </row>
    <row r="39" spans="1:9" ht="15.75" hidden="1" x14ac:dyDescent="0.25">
      <c r="A39" s="37" t="s">
        <v>38</v>
      </c>
      <c r="B39" s="35"/>
      <c r="C39" s="35"/>
      <c r="D39" s="35"/>
      <c r="E39" s="35">
        <v>0</v>
      </c>
      <c r="F39" s="15"/>
      <c r="G39" s="22"/>
      <c r="H39" s="90">
        <f>H38*0.312746</f>
        <v>3.4642633846153847E-2</v>
      </c>
      <c r="I39" s="19">
        <f>I38*0.1819</f>
        <v>9.534963167100001E-3</v>
      </c>
    </row>
    <row r="40" spans="1:9" ht="15.75" hidden="1" x14ac:dyDescent="0.25">
      <c r="A40" s="37" t="s">
        <v>0</v>
      </c>
      <c r="B40" s="35"/>
      <c r="C40" s="35"/>
      <c r="D40" s="35"/>
      <c r="E40" s="35">
        <v>0</v>
      </c>
      <c r="F40" s="15"/>
      <c r="G40" s="22"/>
      <c r="H40" s="92">
        <f>H37*H38</f>
        <v>2584.9107692307693</v>
      </c>
      <c r="I40" s="92">
        <f>I37*I38</f>
        <v>1223.2429932240002</v>
      </c>
    </row>
    <row r="41" spans="1:9" ht="15.75" x14ac:dyDescent="0.25">
      <c r="A41" s="31" t="s">
        <v>10</v>
      </c>
      <c r="B41" s="35"/>
      <c r="C41" s="35">
        <f>B41*12</f>
        <v>0</v>
      </c>
      <c r="D41" s="35">
        <f>'тариф 01.10.21'!C11*3+тариф!C14*9</f>
        <v>4303.2446651999999</v>
      </c>
      <c r="E41" s="35">
        <f>SUM(E42:E45)</f>
        <v>0</v>
      </c>
      <c r="F41" s="15">
        <f t="shared" si="1"/>
        <v>4303.2446651999999</v>
      </c>
      <c r="G41" s="22"/>
      <c r="H41" s="1" t="s">
        <v>105</v>
      </c>
      <c r="I41" s="1" t="s">
        <v>106</v>
      </c>
    </row>
    <row r="42" spans="1:9" ht="15.75" hidden="1" x14ac:dyDescent="0.25">
      <c r="A42" s="37" t="s">
        <v>36</v>
      </c>
      <c r="B42" s="35"/>
      <c r="C42" s="35"/>
      <c r="D42" s="35"/>
      <c r="E42" s="35">
        <v>0</v>
      </c>
      <c r="F42" s="15"/>
      <c r="G42" s="22">
        <f>H45</f>
        <v>1923.0659076923077</v>
      </c>
      <c r="H42" s="1">
        <v>23336</v>
      </c>
      <c r="I42" s="1">
        <v>23336</v>
      </c>
    </row>
    <row r="43" spans="1:9" ht="15.75" hidden="1" x14ac:dyDescent="0.25">
      <c r="A43" s="37" t="s">
        <v>37</v>
      </c>
      <c r="B43" s="35"/>
      <c r="C43" s="35"/>
      <c r="D43" s="35"/>
      <c r="E43" s="35">
        <v>0</v>
      </c>
      <c r="F43" s="15"/>
      <c r="G43" s="22">
        <f>G42*0.302</f>
        <v>580.76590412307689</v>
      </c>
      <c r="H43" s="90">
        <f>('ТХ МКД'!B7+'ТХ МКД'!B28*0.5)/39000</f>
        <v>8.2407692307692307E-2</v>
      </c>
    </row>
    <row r="44" spans="1:9" ht="15.75" hidden="1" x14ac:dyDescent="0.25">
      <c r="A44" s="37" t="s">
        <v>38</v>
      </c>
      <c r="B44" s="35"/>
      <c r="C44" s="35"/>
      <c r="D44" s="35"/>
      <c r="E44" s="35">
        <v>0</v>
      </c>
      <c r="F44" s="15"/>
      <c r="G44" s="22"/>
      <c r="H44" s="90">
        <f>H43*0.3127</f>
        <v>2.5768885384615383E-2</v>
      </c>
    </row>
    <row r="45" spans="1:9" ht="15.75" hidden="1" x14ac:dyDescent="0.25">
      <c r="A45" s="37" t="s">
        <v>0</v>
      </c>
      <c r="B45" s="35"/>
      <c r="C45" s="35"/>
      <c r="D45" s="35"/>
      <c r="E45" s="35">
        <v>0</v>
      </c>
      <c r="F45" s="15"/>
      <c r="G45" s="22"/>
      <c r="H45" s="92">
        <f>H42*H43</f>
        <v>1923.0659076923077</v>
      </c>
    </row>
    <row r="46" spans="1:9" ht="15.75" x14ac:dyDescent="0.25">
      <c r="A46" s="31" t="s">
        <v>11</v>
      </c>
      <c r="B46" s="35"/>
      <c r="C46" s="35">
        <f>B46*12</f>
        <v>0</v>
      </c>
      <c r="D46" s="35">
        <f>'тариф 01.10.21'!C12*3+тариф!C15*9</f>
        <v>6896.3498213999992</v>
      </c>
      <c r="E46" s="35">
        <v>18869</v>
      </c>
      <c r="F46" s="15">
        <f t="shared" si="1"/>
        <v>-11972.650178600001</v>
      </c>
      <c r="G46" s="22"/>
      <c r="H46" s="1" t="s">
        <v>107</v>
      </c>
    </row>
    <row r="47" spans="1:9" ht="15.75" hidden="1" x14ac:dyDescent="0.25">
      <c r="A47" s="37" t="s">
        <v>36</v>
      </c>
      <c r="B47" s="35"/>
      <c r="C47" s="35"/>
      <c r="D47" s="35"/>
      <c r="E47" s="35">
        <v>0</v>
      </c>
      <c r="F47" s="15"/>
      <c r="G47" s="22">
        <f>H49</f>
        <v>354.91200000000003</v>
      </c>
      <c r="H47" s="1">
        <v>22182</v>
      </c>
    </row>
    <row r="48" spans="1:9" ht="15.75" hidden="1" x14ac:dyDescent="0.25">
      <c r="A48" s="37" t="s">
        <v>37</v>
      </c>
      <c r="B48" s="35"/>
      <c r="C48" s="35"/>
      <c r="D48" s="35"/>
      <c r="E48" s="35">
        <v>0</v>
      </c>
      <c r="F48" s="15"/>
      <c r="G48" s="22">
        <f>G47*0.302</f>
        <v>107.183424</v>
      </c>
      <c r="H48" s="90">
        <f>'ТХ МКД'!B16/2250</f>
        <v>1.6E-2</v>
      </c>
    </row>
    <row r="49" spans="1:9" ht="15.75" hidden="1" x14ac:dyDescent="0.25">
      <c r="A49" s="37" t="s">
        <v>38</v>
      </c>
      <c r="B49" s="35"/>
      <c r="C49" s="35"/>
      <c r="D49" s="35"/>
      <c r="E49" s="35">
        <v>0</v>
      </c>
      <c r="F49" s="15"/>
      <c r="G49" s="22"/>
      <c r="H49" s="92">
        <f>H47*H48</f>
        <v>354.91200000000003</v>
      </c>
    </row>
    <row r="50" spans="1:9" ht="15.75" hidden="1" x14ac:dyDescent="0.25">
      <c r="A50" s="37" t="s">
        <v>0</v>
      </c>
      <c r="B50" s="35"/>
      <c r="C50" s="35"/>
      <c r="D50" s="35"/>
      <c r="E50" s="35">
        <v>0</v>
      </c>
      <c r="F50" s="15"/>
      <c r="G50" s="22"/>
    </row>
    <row r="51" spans="1:9" ht="17.25" customHeight="1" x14ac:dyDescent="0.25">
      <c r="A51" s="32" t="s">
        <v>12</v>
      </c>
      <c r="B51" s="35"/>
      <c r="C51" s="35">
        <f>B51*12</f>
        <v>0</v>
      </c>
      <c r="D51" s="35">
        <f>'тариф 01.10.21'!C13*3+тариф!C16*9</f>
        <v>2061.8703300000002</v>
      </c>
      <c r="E51" s="35">
        <f>SUM(E52:E55)</f>
        <v>0</v>
      </c>
      <c r="F51" s="15">
        <f t="shared" si="1"/>
        <v>2061.8703300000002</v>
      </c>
      <c r="G51" s="22"/>
      <c r="H51" s="1" t="s">
        <v>108</v>
      </c>
    </row>
    <row r="52" spans="1:9" ht="15.75" hidden="1" x14ac:dyDescent="0.25">
      <c r="A52" s="37" t="s">
        <v>74</v>
      </c>
      <c r="B52" s="35"/>
      <c r="C52" s="35"/>
      <c r="D52" s="35"/>
      <c r="E52" s="35"/>
      <c r="F52" s="15"/>
      <c r="G52" s="22">
        <f>H55</f>
        <v>638.84159999999997</v>
      </c>
      <c r="H52" s="1">
        <v>22182</v>
      </c>
    </row>
    <row r="53" spans="1:9" ht="15.75" hidden="1" x14ac:dyDescent="0.25">
      <c r="A53" s="37" t="s">
        <v>37</v>
      </c>
      <c r="B53" s="35"/>
      <c r="C53" s="35"/>
      <c r="D53" s="35"/>
      <c r="E53" s="35"/>
      <c r="F53" s="15"/>
      <c r="G53" s="22">
        <f>G52*0.302</f>
        <v>192.93016319999998</v>
      </c>
      <c r="H53" s="1">
        <f>'ТХ МКД'!B12/1250</f>
        <v>2.8799999999999999E-2</v>
      </c>
      <c r="I53" s="1">
        <f>H52*H53</f>
        <v>638.84159999999997</v>
      </c>
    </row>
    <row r="54" spans="1:9" ht="15.75" hidden="1" x14ac:dyDescent="0.25">
      <c r="A54" s="37" t="s">
        <v>38</v>
      </c>
      <c r="B54" s="35"/>
      <c r="C54" s="35"/>
      <c r="D54" s="35"/>
      <c r="E54" s="35"/>
      <c r="F54" s="15"/>
      <c r="G54" s="22"/>
      <c r="H54" s="1">
        <f>H53*0.3075</f>
        <v>8.8559999999999993E-3</v>
      </c>
      <c r="I54" s="1">
        <f>I53*0.302</f>
        <v>192.93016319999998</v>
      </c>
    </row>
    <row r="55" spans="1:9" ht="15.75" hidden="1" x14ac:dyDescent="0.25">
      <c r="A55" s="37" t="s">
        <v>0</v>
      </c>
      <c r="B55" s="35"/>
      <c r="C55" s="35"/>
      <c r="D55" s="35"/>
      <c r="E55" s="35"/>
      <c r="F55" s="15"/>
      <c r="G55" s="22"/>
      <c r="H55" s="93">
        <f>H52*H53</f>
        <v>638.84159999999997</v>
      </c>
    </row>
    <row r="56" spans="1:9" ht="31.5" x14ac:dyDescent="0.25">
      <c r="A56" s="31" t="s">
        <v>13</v>
      </c>
      <c r="B56" s="35"/>
      <c r="C56" s="35">
        <f t="shared" ref="C56:C71" si="3">B56*12</f>
        <v>0</v>
      </c>
      <c r="D56" s="35">
        <f>D57</f>
        <v>76390.73324999999</v>
      </c>
      <c r="E56" s="35">
        <f>E57</f>
        <v>160737</v>
      </c>
      <c r="F56" s="15">
        <f>D56-E56</f>
        <v>-84346.26675000001</v>
      </c>
      <c r="G56" s="22"/>
    </row>
    <row r="57" spans="1:9" ht="15.75" x14ac:dyDescent="0.25">
      <c r="A57" s="38" t="s">
        <v>85</v>
      </c>
      <c r="B57" s="35"/>
      <c r="C57" s="35">
        <f>B57*12</f>
        <v>0</v>
      </c>
      <c r="D57" s="35">
        <f>'тариф 01.10.21'!C14*3+тариф!C17*9</f>
        <v>76390.73324999999</v>
      </c>
      <c r="E57" s="35">
        <f>89937+70800</f>
        <v>160737</v>
      </c>
      <c r="F57" s="15"/>
      <c r="G57" s="22"/>
    </row>
    <row r="58" spans="1:9" ht="33" customHeight="1" x14ac:dyDescent="0.25">
      <c r="A58" s="31" t="s">
        <v>171</v>
      </c>
      <c r="B58" s="35"/>
      <c r="C58" s="35">
        <f t="shared" si="3"/>
        <v>0</v>
      </c>
      <c r="D58" s="35">
        <f>D59</f>
        <v>10277.6232</v>
      </c>
      <c r="E58" s="35">
        <f>E59</f>
        <v>14535</v>
      </c>
      <c r="F58" s="15">
        <f t="shared" si="1"/>
        <v>-4257.3768</v>
      </c>
      <c r="G58" s="22"/>
    </row>
    <row r="59" spans="1:9" ht="17.25" customHeight="1" x14ac:dyDescent="0.25">
      <c r="A59" s="38" t="s">
        <v>190</v>
      </c>
      <c r="B59" s="35"/>
      <c r="C59" s="35"/>
      <c r="D59" s="35">
        <f>'тариф 01.10.21'!C15*3</f>
        <v>10277.6232</v>
      </c>
      <c r="E59" s="35">
        <v>14535</v>
      </c>
      <c r="F59" s="15"/>
      <c r="G59" s="22"/>
    </row>
    <row r="60" spans="1:9" ht="31.5" x14ac:dyDescent="0.25">
      <c r="A60" s="31" t="s">
        <v>172</v>
      </c>
      <c r="B60" s="35"/>
      <c r="C60" s="35">
        <f t="shared" si="3"/>
        <v>0</v>
      </c>
      <c r="D60" s="35">
        <f>D61</f>
        <v>0</v>
      </c>
      <c r="E60" s="35"/>
      <c r="F60" s="15">
        <f t="shared" si="1"/>
        <v>0</v>
      </c>
      <c r="G60" s="22"/>
    </row>
    <row r="61" spans="1:9" ht="15.75" hidden="1" x14ac:dyDescent="0.25">
      <c r="A61" s="38" t="s">
        <v>190</v>
      </c>
      <c r="B61" s="35"/>
      <c r="C61" s="35">
        <f t="shared" si="3"/>
        <v>0</v>
      </c>
      <c r="D61" s="35"/>
      <c r="E61" s="35"/>
      <c r="F61" s="15">
        <f t="shared" si="1"/>
        <v>0</v>
      </c>
      <c r="G61" s="22"/>
    </row>
    <row r="62" spans="1:9" ht="17.25" customHeight="1" x14ac:dyDescent="0.25">
      <c r="A62" s="32" t="s">
        <v>16</v>
      </c>
      <c r="B62" s="35"/>
      <c r="C62" s="35">
        <f t="shared" si="3"/>
        <v>0</v>
      </c>
      <c r="D62" s="35">
        <f>D63</f>
        <v>6656.2025711999995</v>
      </c>
      <c r="E62" s="35">
        <f>E63</f>
        <v>0</v>
      </c>
      <c r="F62" s="15">
        <f t="shared" si="1"/>
        <v>6656.2025711999995</v>
      </c>
      <c r="G62" s="22"/>
    </row>
    <row r="63" spans="1:9" ht="18" hidden="1" customHeight="1" x14ac:dyDescent="0.25">
      <c r="A63" s="39" t="s">
        <v>190</v>
      </c>
      <c r="B63" s="35"/>
      <c r="C63" s="35"/>
      <c r="D63" s="35">
        <f>'тариф 01.10.21'!C17*3+тариф!C20*9</f>
        <v>6656.2025711999995</v>
      </c>
      <c r="E63" s="35"/>
      <c r="F63" s="15"/>
      <c r="G63" s="22"/>
    </row>
    <row r="64" spans="1:9" ht="31.5" x14ac:dyDescent="0.25">
      <c r="A64" s="29" t="s">
        <v>17</v>
      </c>
      <c r="B64" s="16"/>
      <c r="C64" s="16">
        <f t="shared" ref="C64:E64" si="4">C65+C66+C71+C72+C77+C79</f>
        <v>0</v>
      </c>
      <c r="D64" s="16">
        <f t="shared" si="4"/>
        <v>125811.71408520002</v>
      </c>
      <c r="E64" s="16">
        <f t="shared" si="4"/>
        <v>79465.704499999993</v>
      </c>
      <c r="F64" s="15">
        <f t="shared" si="1"/>
        <v>46346.009585200023</v>
      </c>
      <c r="G64" s="22"/>
      <c r="H64" s="27"/>
    </row>
    <row r="65" spans="1:8" ht="15.75" x14ac:dyDescent="0.25">
      <c r="A65" s="31" t="s">
        <v>18</v>
      </c>
      <c r="B65" s="47"/>
      <c r="C65" s="35">
        <f t="shared" si="3"/>
        <v>0</v>
      </c>
      <c r="D65" s="35">
        <v>0</v>
      </c>
      <c r="E65" s="35">
        <v>0</v>
      </c>
      <c r="F65" s="15">
        <f t="shared" si="1"/>
        <v>0</v>
      </c>
      <c r="G65" s="22"/>
    </row>
    <row r="66" spans="1:8" ht="18" customHeight="1" x14ac:dyDescent="0.25">
      <c r="A66" s="31" t="s">
        <v>19</v>
      </c>
      <c r="B66" s="35"/>
      <c r="C66" s="35">
        <f>B66*12</f>
        <v>0</v>
      </c>
      <c r="D66" s="35">
        <f>'тариф 01.10.21'!C22*3+тариф!C23*9</f>
        <v>38358.0653274</v>
      </c>
      <c r="E66" s="35">
        <v>38358.07</v>
      </c>
      <c r="F66" s="15">
        <f t="shared" si="1"/>
        <v>-4.6726000000489876E-3</v>
      </c>
      <c r="G66" s="22"/>
      <c r="H66" s="1" t="s">
        <v>149</v>
      </c>
    </row>
    <row r="67" spans="1:8" ht="15.75" hidden="1" x14ac:dyDescent="0.25">
      <c r="A67" s="37" t="s">
        <v>151</v>
      </c>
      <c r="B67" s="35"/>
      <c r="C67" s="35">
        <f t="shared" ref="C67:C69" si="5">B67*12</f>
        <v>0</v>
      </c>
      <c r="D67" s="35"/>
      <c r="E67" s="35"/>
      <c r="F67" s="15"/>
      <c r="G67" s="22">
        <f>H69</f>
        <v>2191.9514285714286</v>
      </c>
      <c r="H67" s="1">
        <v>12822</v>
      </c>
    </row>
    <row r="68" spans="1:8" ht="15.75" hidden="1" x14ac:dyDescent="0.25">
      <c r="A68" s="37" t="s">
        <v>37</v>
      </c>
      <c r="B68" s="35"/>
      <c r="C68" s="35">
        <f t="shared" si="5"/>
        <v>0</v>
      </c>
      <c r="D68" s="35"/>
      <c r="E68" s="35"/>
      <c r="F68" s="15"/>
      <c r="G68" s="22">
        <f>G67*0.302</f>
        <v>661.96933142857142</v>
      </c>
      <c r="H68" s="109">
        <f>'ТХ МКД'!B30/5250</f>
        <v>0.17095238095238094</v>
      </c>
    </row>
    <row r="69" spans="1:8" ht="15.75" hidden="1" x14ac:dyDescent="0.25">
      <c r="A69" s="37" t="s">
        <v>38</v>
      </c>
      <c r="B69" s="35"/>
      <c r="C69" s="35">
        <f t="shared" si="5"/>
        <v>0</v>
      </c>
      <c r="D69" s="35"/>
      <c r="E69" s="35"/>
      <c r="F69" s="15"/>
      <c r="G69" s="22"/>
      <c r="H69" s="92">
        <f>H67*H68</f>
        <v>2191.9514285714286</v>
      </c>
    </row>
    <row r="70" spans="1:8" ht="15.75" hidden="1" x14ac:dyDescent="0.25">
      <c r="A70" s="37" t="s">
        <v>0</v>
      </c>
      <c r="B70" s="35"/>
      <c r="C70" s="35"/>
      <c r="D70" s="35"/>
      <c r="E70" s="35"/>
      <c r="F70" s="15"/>
      <c r="G70" s="22"/>
    </row>
    <row r="71" spans="1:8" ht="15.75" x14ac:dyDescent="0.25">
      <c r="A71" s="31" t="s">
        <v>20</v>
      </c>
      <c r="B71" s="35"/>
      <c r="C71" s="35">
        <f t="shared" si="3"/>
        <v>0</v>
      </c>
      <c r="D71" s="35">
        <v>0</v>
      </c>
      <c r="E71" s="35">
        <v>0</v>
      </c>
      <c r="F71" s="15"/>
      <c r="G71" s="22"/>
    </row>
    <row r="72" spans="1:8" ht="15.75" x14ac:dyDescent="0.25">
      <c r="A72" s="31" t="s">
        <v>21</v>
      </c>
      <c r="B72" s="35"/>
      <c r="C72" s="35">
        <f>B72*12</f>
        <v>0</v>
      </c>
      <c r="D72" s="35">
        <f>'тариф 01.10.21'!C24*3+тариф!C25*9</f>
        <v>40720.726152600007</v>
      </c>
      <c r="E72" s="35">
        <v>5470</v>
      </c>
      <c r="F72" s="15">
        <f t="shared" si="1"/>
        <v>35250.726152600007</v>
      </c>
      <c r="G72" s="22"/>
      <c r="H72" s="1" t="s">
        <v>150</v>
      </c>
    </row>
    <row r="73" spans="1:8" ht="31.5" hidden="1" x14ac:dyDescent="0.25">
      <c r="A73" s="37" t="s">
        <v>152</v>
      </c>
      <c r="B73" s="35"/>
      <c r="C73" s="35">
        <f t="shared" ref="C73:C75" si="6">B73*12</f>
        <v>0</v>
      </c>
      <c r="D73" s="35"/>
      <c r="E73" s="35"/>
      <c r="F73" s="15"/>
      <c r="G73" s="22">
        <f>H75</f>
        <v>2370.8603773584905</v>
      </c>
      <c r="H73" s="1">
        <v>12822</v>
      </c>
    </row>
    <row r="74" spans="1:8" ht="15.75" hidden="1" x14ac:dyDescent="0.25">
      <c r="A74" s="37" t="s">
        <v>37</v>
      </c>
      <c r="B74" s="35"/>
      <c r="C74" s="35">
        <f t="shared" si="6"/>
        <v>0</v>
      </c>
      <c r="D74" s="35"/>
      <c r="E74" s="35"/>
      <c r="F74" s="15"/>
      <c r="G74" s="22">
        <f>G73*0.302</f>
        <v>715.99983396226412</v>
      </c>
      <c r="H74" s="90">
        <f>'ТХ МКД'!B18/530</f>
        <v>0.18490566037735848</v>
      </c>
    </row>
    <row r="75" spans="1:8" ht="15.75" hidden="1" x14ac:dyDescent="0.25">
      <c r="A75" s="37" t="s">
        <v>38</v>
      </c>
      <c r="B75" s="35"/>
      <c r="C75" s="35">
        <f t="shared" si="6"/>
        <v>0</v>
      </c>
      <c r="D75" s="35"/>
      <c r="E75" s="35"/>
      <c r="F75" s="15"/>
      <c r="G75" s="22"/>
      <c r="H75" s="92">
        <f>H73*H74</f>
        <v>2370.8603773584905</v>
      </c>
    </row>
    <row r="76" spans="1:8" ht="15.75" hidden="1" x14ac:dyDescent="0.25">
      <c r="A76" s="37" t="s">
        <v>0</v>
      </c>
      <c r="B76" s="35"/>
      <c r="C76" s="35"/>
      <c r="D76" s="35"/>
      <c r="E76" s="35"/>
      <c r="F76" s="15"/>
      <c r="G76" s="22"/>
    </row>
    <row r="77" spans="1:8" ht="17.25" customHeight="1" x14ac:dyDescent="0.25">
      <c r="A77" s="31" t="s">
        <v>22</v>
      </c>
      <c r="B77" s="35"/>
      <c r="C77" s="35">
        <f t="shared" ref="C77:C85" si="7">B77*12</f>
        <v>0</v>
      </c>
      <c r="D77" s="35">
        <f>D78</f>
        <v>11095.288105199999</v>
      </c>
      <c r="E77" s="35">
        <f>E78</f>
        <v>0</v>
      </c>
      <c r="F77" s="15">
        <f t="shared" ref="F77:F120" si="8">D77-E77</f>
        <v>11095.288105199999</v>
      </c>
      <c r="G77" s="22"/>
    </row>
    <row r="78" spans="1:8" ht="33" hidden="1" customHeight="1" x14ac:dyDescent="0.25">
      <c r="A78" s="38" t="s">
        <v>40</v>
      </c>
      <c r="B78" s="35"/>
      <c r="C78" s="35">
        <f t="shared" si="7"/>
        <v>0</v>
      </c>
      <c r="D78" s="35">
        <f>'тариф 01.10.21'!C25*3+тариф!C26*9</f>
        <v>11095.288105199999</v>
      </c>
      <c r="E78" s="35"/>
      <c r="F78" s="15"/>
      <c r="G78" s="22"/>
    </row>
    <row r="79" spans="1:8" ht="18" customHeight="1" x14ac:dyDescent="0.25">
      <c r="A79" s="31" t="s">
        <v>23</v>
      </c>
      <c r="B79" s="35"/>
      <c r="C79" s="35">
        <f t="shared" si="7"/>
        <v>0</v>
      </c>
      <c r="D79" s="35">
        <f>'тариф 01.10.21'!C26*3+тариф!C27*9</f>
        <v>35637.6345</v>
      </c>
      <c r="E79" s="35">
        <v>35637.6345</v>
      </c>
      <c r="F79" s="15">
        <f t="shared" si="8"/>
        <v>0</v>
      </c>
      <c r="G79" s="22"/>
    </row>
    <row r="80" spans="1:8" ht="15.75" hidden="1" x14ac:dyDescent="0.25">
      <c r="A80" s="37" t="s">
        <v>36</v>
      </c>
      <c r="B80" s="35"/>
      <c r="C80" s="35"/>
      <c r="D80" s="35"/>
      <c r="E80" s="35"/>
      <c r="F80" s="15"/>
      <c r="G80" s="22"/>
    </row>
    <row r="81" spans="1:7" ht="15.75" hidden="1" x14ac:dyDescent="0.25">
      <c r="A81" s="37" t="s">
        <v>37</v>
      </c>
      <c r="B81" s="35"/>
      <c r="C81" s="35"/>
      <c r="D81" s="35"/>
      <c r="E81" s="35"/>
      <c r="F81" s="15"/>
      <c r="G81" s="22"/>
    </row>
    <row r="82" spans="1:7" ht="15.75" hidden="1" x14ac:dyDescent="0.25">
      <c r="A82" s="37" t="s">
        <v>38</v>
      </c>
      <c r="B82" s="35"/>
      <c r="C82" s="35"/>
      <c r="D82" s="35"/>
      <c r="E82" s="35"/>
      <c r="F82" s="15"/>
      <c r="G82" s="22"/>
    </row>
    <row r="83" spans="1:7" ht="15.75" hidden="1" x14ac:dyDescent="0.25">
      <c r="A83" s="37" t="s">
        <v>0</v>
      </c>
      <c r="B83" s="35"/>
      <c r="C83" s="35"/>
      <c r="D83" s="35"/>
      <c r="E83" s="35"/>
      <c r="F83" s="15"/>
      <c r="G83" s="22"/>
    </row>
    <row r="84" spans="1:7" ht="15.75" x14ac:dyDescent="0.25">
      <c r="A84" s="29" t="s">
        <v>24</v>
      </c>
      <c r="B84" s="15"/>
      <c r="C84" s="15">
        <f t="shared" si="7"/>
        <v>0</v>
      </c>
      <c r="D84" s="15">
        <f>'тариф 01.10.21'!C27*3+тариф!C28*9</f>
        <v>28064.8029948</v>
      </c>
      <c r="E84" s="15">
        <v>28064.8029948</v>
      </c>
      <c r="F84" s="15">
        <f t="shared" si="8"/>
        <v>0</v>
      </c>
      <c r="G84" s="22"/>
    </row>
    <row r="85" spans="1:7" ht="15.75" x14ac:dyDescent="0.25">
      <c r="A85" s="29" t="s">
        <v>25</v>
      </c>
      <c r="B85" s="15"/>
      <c r="C85" s="15">
        <f t="shared" si="7"/>
        <v>0</v>
      </c>
      <c r="D85" s="15">
        <f>'тариф 01.10.21'!C28*3+тариф!C29*9</f>
        <v>79779.698083800002</v>
      </c>
      <c r="E85" s="15">
        <v>79779.698083800002</v>
      </c>
      <c r="F85" s="15">
        <f t="shared" si="8"/>
        <v>0</v>
      </c>
      <c r="G85" s="22"/>
    </row>
    <row r="86" spans="1:7" ht="17.25" hidden="1" customHeight="1" x14ac:dyDescent="0.25">
      <c r="A86" s="69" t="s">
        <v>70</v>
      </c>
      <c r="B86" s="15"/>
      <c r="C86" s="15"/>
      <c r="D86" s="35"/>
      <c r="E86" s="15">
        <f>SUM(E87:E96)</f>
        <v>0</v>
      </c>
      <c r="F86" s="15"/>
      <c r="G86" s="22"/>
    </row>
    <row r="87" spans="1:7" ht="25.5" hidden="1" x14ac:dyDescent="0.25">
      <c r="A87" s="70" t="s">
        <v>86</v>
      </c>
      <c r="B87" s="15"/>
      <c r="C87" s="15"/>
      <c r="D87" s="35"/>
      <c r="E87" s="35"/>
      <c r="F87" s="15"/>
      <c r="G87" s="50"/>
    </row>
    <row r="88" spans="1:7" ht="15.75" hidden="1" x14ac:dyDescent="0.25">
      <c r="A88" s="70" t="s">
        <v>37</v>
      </c>
      <c r="B88" s="15"/>
      <c r="C88" s="15"/>
      <c r="D88" s="35"/>
      <c r="E88" s="35"/>
      <c r="F88" s="15"/>
      <c r="G88" s="50"/>
    </row>
    <row r="89" spans="1:7" ht="15.75" hidden="1" x14ac:dyDescent="0.25">
      <c r="A89" s="70" t="s">
        <v>50</v>
      </c>
      <c r="B89" s="15"/>
      <c r="C89" s="15"/>
      <c r="D89" s="35"/>
      <c r="E89" s="35"/>
      <c r="F89" s="15"/>
      <c r="G89" s="50"/>
    </row>
    <row r="90" spans="1:7" ht="15.75" hidden="1" x14ac:dyDescent="0.25">
      <c r="A90" s="70" t="s">
        <v>51</v>
      </c>
      <c r="B90" s="15"/>
      <c r="C90" s="15"/>
      <c r="D90" s="35"/>
      <c r="E90" s="35"/>
      <c r="F90" s="15"/>
      <c r="G90" s="50"/>
    </row>
    <row r="91" spans="1:7" ht="15.75" hidden="1" x14ac:dyDescent="0.25">
      <c r="A91" s="70" t="s">
        <v>77</v>
      </c>
      <c r="B91" s="15"/>
      <c r="C91" s="15"/>
      <c r="D91" s="35"/>
      <c r="E91" s="35"/>
      <c r="F91" s="15"/>
      <c r="G91" s="50"/>
    </row>
    <row r="92" spans="1:7" ht="15.75" hidden="1" x14ac:dyDescent="0.25">
      <c r="A92" s="70" t="s">
        <v>52</v>
      </c>
      <c r="B92" s="15"/>
      <c r="C92" s="15"/>
      <c r="D92" s="35"/>
      <c r="E92" s="35"/>
      <c r="F92" s="15"/>
      <c r="G92" s="50"/>
    </row>
    <row r="93" spans="1:7" ht="15.75" hidden="1" x14ac:dyDescent="0.25">
      <c r="A93" s="70" t="s">
        <v>78</v>
      </c>
      <c r="B93" s="15"/>
      <c r="C93" s="15"/>
      <c r="D93" s="35"/>
      <c r="E93" s="35"/>
      <c r="F93" s="15"/>
      <c r="G93" s="50"/>
    </row>
    <row r="94" spans="1:7" ht="15.75" hidden="1" x14ac:dyDescent="0.25">
      <c r="A94" s="70" t="s">
        <v>53</v>
      </c>
      <c r="B94" s="15"/>
      <c r="C94" s="15"/>
      <c r="D94" s="35"/>
      <c r="E94" s="35"/>
      <c r="F94" s="15"/>
      <c r="G94" s="50"/>
    </row>
    <row r="95" spans="1:7" ht="15.75" hidden="1" x14ac:dyDescent="0.25">
      <c r="A95" s="70" t="s">
        <v>54</v>
      </c>
      <c r="B95" s="15"/>
      <c r="C95" s="15"/>
      <c r="D95" s="35"/>
      <c r="E95" s="35"/>
      <c r="F95" s="15"/>
      <c r="G95" s="50"/>
    </row>
    <row r="96" spans="1:7" ht="15.75" hidden="1" x14ac:dyDescent="0.25">
      <c r="A96" s="70" t="s">
        <v>0</v>
      </c>
      <c r="B96" s="15"/>
      <c r="C96" s="15"/>
      <c r="D96" s="35"/>
      <c r="E96" s="35"/>
      <c r="F96" s="15"/>
      <c r="G96" s="50"/>
    </row>
    <row r="97" spans="1:7" ht="17.25" hidden="1" customHeight="1" x14ac:dyDescent="0.25">
      <c r="A97" s="69" t="s">
        <v>71</v>
      </c>
      <c r="B97" s="15"/>
      <c r="C97" s="15"/>
      <c r="D97" s="35"/>
      <c r="E97" s="15">
        <f>E98+E99+E100+E108+E112+E115+E116</f>
        <v>0</v>
      </c>
      <c r="F97" s="15"/>
      <c r="G97" s="22"/>
    </row>
    <row r="98" spans="1:7" ht="30" hidden="1" x14ac:dyDescent="0.25">
      <c r="A98" s="71" t="s">
        <v>87</v>
      </c>
      <c r="B98" s="15"/>
      <c r="C98" s="15"/>
      <c r="D98" s="35"/>
      <c r="E98" s="35"/>
      <c r="F98" s="15"/>
      <c r="G98" s="50"/>
    </row>
    <row r="99" spans="1:7" ht="15.75" hidden="1" x14ac:dyDescent="0.25">
      <c r="A99" s="71" t="s">
        <v>37</v>
      </c>
      <c r="B99" s="15"/>
      <c r="C99" s="15"/>
      <c r="D99" s="35"/>
      <c r="E99" s="35"/>
      <c r="F99" s="15"/>
      <c r="G99" s="50"/>
    </row>
    <row r="100" spans="1:7" ht="30" hidden="1" x14ac:dyDescent="0.25">
      <c r="A100" s="71" t="s">
        <v>55</v>
      </c>
      <c r="B100" s="15"/>
      <c r="C100" s="15"/>
      <c r="D100" s="35"/>
      <c r="E100" s="35"/>
      <c r="F100" s="15"/>
      <c r="G100" s="50"/>
    </row>
    <row r="101" spans="1:7" ht="15.75" hidden="1" x14ac:dyDescent="0.25">
      <c r="A101" s="72" t="s">
        <v>56</v>
      </c>
      <c r="B101" s="15"/>
      <c r="C101" s="15"/>
      <c r="D101" s="35"/>
      <c r="E101" s="35"/>
      <c r="F101" s="15"/>
      <c r="G101" s="50"/>
    </row>
    <row r="102" spans="1:7" ht="15.75" hidden="1" x14ac:dyDescent="0.25">
      <c r="A102" s="72" t="s">
        <v>57</v>
      </c>
      <c r="B102" s="15"/>
      <c r="C102" s="15"/>
      <c r="D102" s="35"/>
      <c r="E102" s="35"/>
      <c r="F102" s="15"/>
      <c r="G102" s="50"/>
    </row>
    <row r="103" spans="1:7" ht="15.75" hidden="1" x14ac:dyDescent="0.25">
      <c r="A103" s="72" t="s">
        <v>58</v>
      </c>
      <c r="B103" s="15"/>
      <c r="C103" s="15"/>
      <c r="D103" s="35"/>
      <c r="E103" s="35"/>
      <c r="F103" s="15"/>
      <c r="G103" s="50"/>
    </row>
    <row r="104" spans="1:7" ht="15.75" hidden="1" x14ac:dyDescent="0.25">
      <c r="A104" s="72" t="s">
        <v>59</v>
      </c>
      <c r="B104" s="15"/>
      <c r="C104" s="15"/>
      <c r="D104" s="35"/>
      <c r="E104" s="35"/>
      <c r="F104" s="15"/>
      <c r="G104" s="50"/>
    </row>
    <row r="105" spans="1:7" ht="15.75" hidden="1" x14ac:dyDescent="0.25">
      <c r="A105" s="72" t="s">
        <v>60</v>
      </c>
      <c r="B105" s="15"/>
      <c r="C105" s="15"/>
      <c r="D105" s="35"/>
      <c r="E105" s="35"/>
      <c r="F105" s="15"/>
      <c r="G105" s="50"/>
    </row>
    <row r="106" spans="1:7" ht="15.75" hidden="1" x14ac:dyDescent="0.25">
      <c r="A106" s="72" t="s">
        <v>61</v>
      </c>
      <c r="B106" s="15"/>
      <c r="C106" s="15"/>
      <c r="D106" s="35"/>
      <c r="E106" s="35"/>
      <c r="F106" s="15"/>
      <c r="G106" s="50"/>
    </row>
    <row r="107" spans="1:7" ht="15.75" hidden="1" x14ac:dyDescent="0.25">
      <c r="A107" s="72" t="s">
        <v>62</v>
      </c>
      <c r="B107" s="15"/>
      <c r="C107" s="15"/>
      <c r="D107" s="35"/>
      <c r="E107" s="35"/>
      <c r="F107" s="15"/>
      <c r="G107" s="50"/>
    </row>
    <row r="108" spans="1:7" ht="15.75" hidden="1" x14ac:dyDescent="0.25">
      <c r="A108" s="73" t="s">
        <v>63</v>
      </c>
      <c r="B108" s="15"/>
      <c r="C108" s="15"/>
      <c r="D108" s="35"/>
      <c r="E108" s="35"/>
      <c r="F108" s="15"/>
      <c r="G108" s="50"/>
    </row>
    <row r="109" spans="1:7" ht="15.75" hidden="1" x14ac:dyDescent="0.25">
      <c r="A109" s="72" t="s">
        <v>64</v>
      </c>
      <c r="B109" s="15"/>
      <c r="C109" s="15"/>
      <c r="D109" s="35"/>
      <c r="E109" s="35"/>
      <c r="F109" s="15"/>
      <c r="G109" s="50"/>
    </row>
    <row r="110" spans="1:7" ht="15.75" hidden="1" x14ac:dyDescent="0.25">
      <c r="A110" s="72" t="s">
        <v>65</v>
      </c>
      <c r="B110" s="15"/>
      <c r="C110" s="15"/>
      <c r="D110" s="35"/>
      <c r="E110" s="35"/>
      <c r="F110" s="15"/>
      <c r="G110" s="50"/>
    </row>
    <row r="111" spans="1:7" ht="15.75" hidden="1" x14ac:dyDescent="0.25">
      <c r="A111" s="72" t="s">
        <v>79</v>
      </c>
      <c r="B111" s="15"/>
      <c r="C111" s="15"/>
      <c r="D111" s="35"/>
      <c r="E111" s="35"/>
      <c r="F111" s="15"/>
      <c r="G111" s="50"/>
    </row>
    <row r="112" spans="1:7" ht="15.75" hidden="1" x14ac:dyDescent="0.25">
      <c r="A112" s="73" t="s">
        <v>66</v>
      </c>
      <c r="B112" s="15"/>
      <c r="C112" s="15"/>
      <c r="D112" s="35"/>
      <c r="E112" s="35"/>
      <c r="F112" s="15"/>
      <c r="G112" s="50"/>
    </row>
    <row r="113" spans="1:8" ht="15.75" hidden="1" x14ac:dyDescent="0.25">
      <c r="A113" s="72" t="s">
        <v>67</v>
      </c>
      <c r="B113" s="15"/>
      <c r="C113" s="15"/>
      <c r="D113" s="35"/>
      <c r="E113" s="35"/>
      <c r="F113" s="15"/>
      <c r="G113" s="50"/>
    </row>
    <row r="114" spans="1:8" ht="25.5" hidden="1" x14ac:dyDescent="0.25">
      <c r="A114" s="72" t="s">
        <v>80</v>
      </c>
      <c r="B114" s="15"/>
      <c r="C114" s="15"/>
      <c r="D114" s="35"/>
      <c r="E114" s="35"/>
      <c r="F114" s="15"/>
      <c r="G114" s="50"/>
    </row>
    <row r="115" spans="1:8" ht="15.75" hidden="1" x14ac:dyDescent="0.25">
      <c r="A115" s="73" t="s">
        <v>68</v>
      </c>
      <c r="B115" s="15"/>
      <c r="C115" s="15"/>
      <c r="D115" s="35"/>
      <c r="E115" s="35"/>
      <c r="F115" s="15"/>
      <c r="G115" s="50"/>
    </row>
    <row r="116" spans="1:8" ht="16.5" hidden="1" customHeight="1" x14ac:dyDescent="0.25">
      <c r="A116" s="73" t="s">
        <v>69</v>
      </c>
      <c r="B116" s="15"/>
      <c r="C116" s="15"/>
      <c r="D116" s="35"/>
      <c r="E116" s="35"/>
      <c r="F116" s="15"/>
      <c r="G116" s="50"/>
    </row>
    <row r="117" spans="1:8" ht="44.25" customHeight="1" x14ac:dyDescent="0.25">
      <c r="A117" s="143" t="s">
        <v>185</v>
      </c>
      <c r="B117" s="15"/>
      <c r="C117" s="15"/>
      <c r="D117" s="15">
        <f>D118+D119</f>
        <v>12049.729606186702</v>
      </c>
      <c r="E117" s="15">
        <f>E118+E119</f>
        <v>22585</v>
      </c>
      <c r="F117" s="15"/>
      <c r="G117" s="50"/>
    </row>
    <row r="118" spans="1:8" ht="16.5" customHeight="1" x14ac:dyDescent="0.25">
      <c r="A118" s="143" t="s">
        <v>186</v>
      </c>
      <c r="B118" s="15"/>
      <c r="C118" s="15"/>
      <c r="D118" s="35">
        <f>(тариф!C18+тариф!C19)*9</f>
        <v>12049.729606186702</v>
      </c>
      <c r="E118" s="35">
        <v>22585</v>
      </c>
      <c r="F118" s="15"/>
      <c r="G118" s="50"/>
    </row>
    <row r="119" spans="1:8" ht="16.5" customHeight="1" x14ac:dyDescent="0.25">
      <c r="A119" s="143" t="s">
        <v>187</v>
      </c>
      <c r="B119" s="15"/>
      <c r="C119" s="15"/>
      <c r="D119" s="35"/>
      <c r="E119" s="35"/>
      <c r="F119" s="15"/>
      <c r="G119" s="50"/>
    </row>
    <row r="120" spans="1:8" ht="18" customHeight="1" x14ac:dyDescent="0.25">
      <c r="A120" s="33" t="s">
        <v>35</v>
      </c>
      <c r="B120" s="17"/>
      <c r="C120" s="17">
        <f>C85+C84+C64+C35+C9</f>
        <v>0</v>
      </c>
      <c r="D120" s="17">
        <f>D85+D84+D64+D35+D9+D117</f>
        <v>394363.82625898666</v>
      </c>
      <c r="E120" s="17">
        <f>E85+E84+E64+E35+E9+E117</f>
        <v>634472.20557860006</v>
      </c>
      <c r="F120" s="15">
        <f t="shared" si="8"/>
        <v>-240108.37931961339</v>
      </c>
      <c r="G120" s="52"/>
      <c r="H120" s="17">
        <v>30151.506310000001</v>
      </c>
    </row>
    <row r="121" spans="1:8" ht="16.5" customHeight="1" x14ac:dyDescent="0.25">
      <c r="A121" s="29" t="s">
        <v>27</v>
      </c>
      <c r="B121" s="28"/>
      <c r="C121" s="28">
        <v>1994.6</v>
      </c>
      <c r="D121" s="28">
        <f>тариф!B31</f>
        <v>1995.5</v>
      </c>
      <c r="E121" s="28">
        <f>тариф!B31</f>
        <v>1995.5</v>
      </c>
      <c r="F121" s="54"/>
      <c r="G121" s="14"/>
    </row>
    <row r="122" spans="1:8" ht="15.75" hidden="1" x14ac:dyDescent="0.25">
      <c r="A122" s="160" t="s">
        <v>39</v>
      </c>
      <c r="B122" s="41"/>
      <c r="C122" s="41">
        <f>C120/C121/12</f>
        <v>0</v>
      </c>
      <c r="D122" s="41">
        <v>17.75</v>
      </c>
      <c r="E122" s="41"/>
      <c r="F122" s="43"/>
      <c r="G122" s="19"/>
    </row>
    <row r="123" spans="1:8" ht="31.5" x14ac:dyDescent="0.25">
      <c r="A123" s="160" t="s">
        <v>193</v>
      </c>
      <c r="B123" s="161"/>
      <c r="C123" s="161"/>
      <c r="D123" s="161"/>
      <c r="E123" s="162">
        <v>105200.37</v>
      </c>
      <c r="F123" s="49"/>
      <c r="G123" s="19"/>
    </row>
    <row r="124" spans="1:8" ht="18.75" customHeight="1" x14ac:dyDescent="0.25">
      <c r="A124" s="160" t="s">
        <v>194</v>
      </c>
      <c r="B124" s="161"/>
      <c r="C124" s="161"/>
      <c r="D124" s="161"/>
      <c r="E124" s="162">
        <v>353060.09</v>
      </c>
      <c r="F124" s="49"/>
      <c r="G124" s="19"/>
    </row>
    <row r="125" spans="1:8" ht="18.75" x14ac:dyDescent="0.3">
      <c r="A125" s="45" t="s">
        <v>48</v>
      </c>
      <c r="B125" s="1" t="s">
        <v>32</v>
      </c>
      <c r="C125" s="46" t="s">
        <v>49</v>
      </c>
      <c r="D125" s="46"/>
      <c r="E125" s="46"/>
      <c r="F125" s="46"/>
      <c r="G125" s="1"/>
    </row>
    <row r="126" spans="1:8" ht="15.75" x14ac:dyDescent="0.25">
      <c r="A126" s="30"/>
      <c r="B126" s="48"/>
      <c r="C126" s="48"/>
      <c r="D126" s="48"/>
      <c r="E126" s="48"/>
      <c r="F126" s="48"/>
    </row>
    <row r="127" spans="1:8" ht="15.75" x14ac:dyDescent="0.25">
      <c r="A127" s="13" t="s">
        <v>31</v>
      </c>
      <c r="B127" s="44" t="s">
        <v>46</v>
      </c>
      <c r="C127" s="44" t="s">
        <v>33</v>
      </c>
      <c r="E127" s="44" t="s">
        <v>33</v>
      </c>
      <c r="F127" s="44"/>
    </row>
    <row r="128" spans="1:8" ht="15.75" x14ac:dyDescent="0.25">
      <c r="A128" s="30"/>
      <c r="B128" s="48"/>
      <c r="C128" s="48"/>
      <c r="D128" s="48"/>
      <c r="E128" s="48"/>
      <c r="F128" s="48"/>
    </row>
    <row r="129" spans="4:4" x14ac:dyDescent="0.25">
      <c r="D129" s="2">
        <f>'тариф 01.10.21'!C34+тариф!C34</f>
        <v>394363.82625898672</v>
      </c>
    </row>
  </sheetData>
  <mergeCells count="6">
    <mergeCell ref="A5:A7"/>
    <mergeCell ref="B5:D5"/>
    <mergeCell ref="A1:E1"/>
    <mergeCell ref="A2:E2"/>
    <mergeCell ref="A3:E3"/>
    <mergeCell ref="D4:E4"/>
  </mergeCells>
  <pageMargins left="0.7" right="0.7" top="0.75" bottom="0.75" header="0.3" footer="0.3"/>
  <pageSetup paperSize="9" scale="7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16" sqref="A16"/>
    </sheetView>
  </sheetViews>
  <sheetFormatPr defaultRowHeight="15" x14ac:dyDescent="0.25"/>
  <cols>
    <col min="1" max="1" width="70.28515625" customWidth="1"/>
    <col min="2" max="2" width="23.7109375" customWidth="1"/>
    <col min="3" max="4" width="19.28515625" customWidth="1"/>
  </cols>
  <sheetData>
    <row r="1" spans="1:4" x14ac:dyDescent="0.25">
      <c r="A1" s="1"/>
      <c r="B1" s="1" t="s">
        <v>155</v>
      </c>
      <c r="C1" s="1"/>
      <c r="D1" s="1"/>
    </row>
    <row r="2" spans="1:4" x14ac:dyDescent="0.25">
      <c r="A2" s="118" t="s">
        <v>156</v>
      </c>
      <c r="B2" s="118" t="str">
        <f>'ТХ МКД'!C2</f>
        <v>Речная, 4А</v>
      </c>
      <c r="C2" s="119" t="s">
        <v>157</v>
      </c>
      <c r="D2" s="119" t="s">
        <v>158</v>
      </c>
    </row>
    <row r="3" spans="1:4" x14ac:dyDescent="0.25">
      <c r="A3" s="120" t="s">
        <v>159</v>
      </c>
      <c r="B3" s="121">
        <f>SUM(B4:B8)</f>
        <v>0.63877440000000008</v>
      </c>
      <c r="C3" s="122">
        <f>SUM(C4:C8)</f>
        <v>1274.6743152000001</v>
      </c>
      <c r="D3" s="122">
        <f t="shared" ref="D3" si="0">SUM(D4:D8)</f>
        <v>15296.091782400003</v>
      </c>
    </row>
    <row r="4" spans="1:4" ht="31.5" customHeight="1" x14ac:dyDescent="0.25">
      <c r="A4" s="123" t="s">
        <v>160</v>
      </c>
      <c r="B4" s="124">
        <v>6.4803200000000005E-2</v>
      </c>
      <c r="C4" s="125">
        <f>B4*$B$33</f>
        <v>129.31478560000002</v>
      </c>
      <c r="D4" s="125">
        <f>C4*12</f>
        <v>1551.7774272000001</v>
      </c>
    </row>
    <row r="5" spans="1:4" x14ac:dyDescent="0.25">
      <c r="A5" s="123" t="s">
        <v>161</v>
      </c>
      <c r="B5" s="124">
        <v>0.31581040000000005</v>
      </c>
      <c r="C5" s="125">
        <f t="shared" ref="C5:C8" si="1">B5*$B$33</f>
        <v>630.19965320000006</v>
      </c>
      <c r="D5" s="125">
        <f t="shared" ref="D5:D8" si="2">C5*12</f>
        <v>7562.3958384000007</v>
      </c>
    </row>
    <row r="6" spans="1:4" ht="30" x14ac:dyDescent="0.25">
      <c r="A6" s="123" t="s">
        <v>162</v>
      </c>
      <c r="B6" s="124">
        <v>3.0297600000000001E-2</v>
      </c>
      <c r="C6" s="125">
        <f t="shared" si="1"/>
        <v>60.458860800000004</v>
      </c>
      <c r="D6" s="125">
        <f t="shared" si="2"/>
        <v>725.50632960000007</v>
      </c>
    </row>
    <row r="7" spans="1:4" x14ac:dyDescent="0.25">
      <c r="A7" s="123" t="s">
        <v>163</v>
      </c>
      <c r="B7" s="124">
        <v>8.5422399999999996E-2</v>
      </c>
      <c r="C7" s="125">
        <f t="shared" si="1"/>
        <v>170.46039919999998</v>
      </c>
      <c r="D7" s="125">
        <f t="shared" si="2"/>
        <v>2045.5247903999998</v>
      </c>
    </row>
    <row r="8" spans="1:4" x14ac:dyDescent="0.25">
      <c r="A8" s="123" t="s">
        <v>164</v>
      </c>
      <c r="B8" s="124">
        <v>0.14244080000000001</v>
      </c>
      <c r="C8" s="125">
        <f t="shared" si="1"/>
        <v>284.24061640000002</v>
      </c>
      <c r="D8" s="125">
        <f t="shared" si="2"/>
        <v>3410.8873968000003</v>
      </c>
    </row>
    <row r="9" spans="1:4" ht="16.5" customHeight="1" x14ac:dyDescent="0.25">
      <c r="A9" s="120" t="s">
        <v>165</v>
      </c>
      <c r="B9" s="121">
        <f>SUM(B10:B19)</f>
        <v>7.3988116000000002</v>
      </c>
      <c r="C9" s="122">
        <f>SUM(C10:C19)</f>
        <v>14764.3285478</v>
      </c>
      <c r="D9" s="122">
        <f t="shared" ref="D9" si="3">SUM(D10:D19)</f>
        <v>177171.94257360001</v>
      </c>
    </row>
    <row r="10" spans="1:4" ht="16.5" customHeight="1" x14ac:dyDescent="0.25">
      <c r="A10" s="123" t="s">
        <v>166</v>
      </c>
      <c r="B10" s="124">
        <v>1.1858143999999999</v>
      </c>
      <c r="C10" s="125">
        <f>B10*$B$33</f>
        <v>2366.2926351999999</v>
      </c>
      <c r="D10" s="125">
        <f>C10*12</f>
        <v>28395.511622400001</v>
      </c>
    </row>
    <row r="11" spans="1:4" x14ac:dyDescent="0.25">
      <c r="A11" s="123" t="s">
        <v>167</v>
      </c>
      <c r="B11" s="124">
        <v>0.18662480000000001</v>
      </c>
      <c r="C11" s="125">
        <f t="shared" ref="C11:C17" si="4">B11*$B$33</f>
        <v>372.40978840000002</v>
      </c>
      <c r="D11" s="125">
        <f t="shared" ref="D11:D17" si="5">C11*12</f>
        <v>4468.9174608000003</v>
      </c>
    </row>
    <row r="12" spans="1:4" x14ac:dyDescent="0.25">
      <c r="A12" s="123" t="s">
        <v>168</v>
      </c>
      <c r="B12" s="124">
        <v>0.29908360000000001</v>
      </c>
      <c r="C12" s="125">
        <f t="shared" si="4"/>
        <v>596.82132379999996</v>
      </c>
      <c r="D12" s="125">
        <f t="shared" si="5"/>
        <v>7161.8558856</v>
      </c>
    </row>
    <row r="13" spans="1:4" x14ac:dyDescent="0.25">
      <c r="A13" s="123" t="s">
        <v>169</v>
      </c>
      <c r="B13" s="126">
        <v>8.9420000000000013E-2</v>
      </c>
      <c r="C13" s="125">
        <f t="shared" si="4"/>
        <v>178.43761000000003</v>
      </c>
      <c r="D13" s="125">
        <f t="shared" si="5"/>
        <v>2141.2513200000003</v>
      </c>
    </row>
    <row r="14" spans="1:4" ht="90" customHeight="1" x14ac:dyDescent="0.25">
      <c r="A14" s="127" t="s">
        <v>170</v>
      </c>
      <c r="B14" s="126">
        <v>3.6324000000000001</v>
      </c>
      <c r="C14" s="125">
        <f t="shared" si="4"/>
        <v>7248.4542000000001</v>
      </c>
      <c r="D14" s="125">
        <f t="shared" si="5"/>
        <v>86981.450400000002</v>
      </c>
    </row>
    <row r="15" spans="1:4" ht="17.25" customHeight="1" x14ac:dyDescent="0.25">
      <c r="A15" s="128" t="s">
        <v>171</v>
      </c>
      <c r="B15" s="129">
        <v>1.7168000000000001</v>
      </c>
      <c r="C15" s="125">
        <f t="shared" si="4"/>
        <v>3425.8744000000002</v>
      </c>
      <c r="D15" s="125">
        <f t="shared" si="5"/>
        <v>41110.4928</v>
      </c>
    </row>
    <row r="16" spans="1:4" ht="30" x14ac:dyDescent="0.25">
      <c r="A16" s="127" t="s">
        <v>172</v>
      </c>
      <c r="B16" s="129"/>
      <c r="C16" s="125"/>
      <c r="D16" s="125"/>
    </row>
    <row r="17" spans="1:4" ht="30" x14ac:dyDescent="0.25">
      <c r="A17" s="127" t="s">
        <v>173</v>
      </c>
      <c r="B17" s="130">
        <v>0.2886688</v>
      </c>
      <c r="C17" s="125">
        <f t="shared" si="4"/>
        <v>576.03859039999998</v>
      </c>
      <c r="D17" s="125">
        <f t="shared" si="5"/>
        <v>6912.4630847999997</v>
      </c>
    </row>
    <row r="18" spans="1:4" x14ac:dyDescent="0.25">
      <c r="A18" s="128" t="s">
        <v>174</v>
      </c>
      <c r="B18" s="129"/>
      <c r="C18" s="125"/>
      <c r="D18" s="125"/>
    </row>
    <row r="19" spans="1:4" x14ac:dyDescent="0.25">
      <c r="A19" s="123" t="s">
        <v>175</v>
      </c>
      <c r="B19" s="131"/>
      <c r="C19" s="125"/>
      <c r="D19" s="125"/>
    </row>
    <row r="20" spans="1:4" ht="18" customHeight="1" x14ac:dyDescent="0.25">
      <c r="A20" s="132" t="s">
        <v>176</v>
      </c>
      <c r="B20" s="133">
        <f>SUM(B21:B26)</f>
        <v>5.0934048000000001</v>
      </c>
      <c r="C20" s="134">
        <f>SUM(C21:C26)</f>
        <v>10163.8892784</v>
      </c>
      <c r="D20" s="134">
        <f t="shared" ref="D20" si="6">SUM(D21:D26)</f>
        <v>121966.67134080001</v>
      </c>
    </row>
    <row r="21" spans="1:4" x14ac:dyDescent="0.25">
      <c r="A21" s="123" t="s">
        <v>177</v>
      </c>
      <c r="B21" s="119">
        <v>0</v>
      </c>
      <c r="C21" s="125">
        <f>B21*$B$33</f>
        <v>0</v>
      </c>
      <c r="D21" s="125">
        <f>C21*12</f>
        <v>0</v>
      </c>
    </row>
    <row r="22" spans="1:4" x14ac:dyDescent="0.25">
      <c r="A22" s="127" t="s">
        <v>178</v>
      </c>
      <c r="B22" s="130">
        <v>1.6635276000000001</v>
      </c>
      <c r="C22" s="125">
        <f>B22*$B$33</f>
        <v>3319.5693258000001</v>
      </c>
      <c r="D22" s="125">
        <f t="shared" ref="D22:D28" si="7">C22*12</f>
        <v>39834.831909600005</v>
      </c>
    </row>
    <row r="23" spans="1:4" x14ac:dyDescent="0.25">
      <c r="A23" s="123" t="s">
        <v>20</v>
      </c>
      <c r="B23" s="135">
        <v>0</v>
      </c>
      <c r="C23" s="125">
        <f t="shared" ref="C23:C26" si="8">B23*$B$33</f>
        <v>0</v>
      </c>
      <c r="D23" s="125">
        <f t="shared" si="7"/>
        <v>0</v>
      </c>
    </row>
    <row r="24" spans="1:4" x14ac:dyDescent="0.25">
      <c r="A24" s="127" t="s">
        <v>179</v>
      </c>
      <c r="B24" s="130">
        <v>1.7659924000000002</v>
      </c>
      <c r="C24" s="125">
        <f t="shared" si="8"/>
        <v>3524.0378342000004</v>
      </c>
      <c r="D24" s="125">
        <f t="shared" si="7"/>
        <v>42288.454010400004</v>
      </c>
    </row>
    <row r="25" spans="1:4" ht="30" x14ac:dyDescent="0.25">
      <c r="A25" s="123" t="s">
        <v>180</v>
      </c>
      <c r="B25" s="135">
        <v>0.48118479999999997</v>
      </c>
      <c r="C25" s="125">
        <f t="shared" si="8"/>
        <v>960.20426839999993</v>
      </c>
      <c r="D25" s="125">
        <f t="shared" si="7"/>
        <v>11522.4512208</v>
      </c>
    </row>
    <row r="26" spans="1:4" x14ac:dyDescent="0.25">
      <c r="A26" s="127" t="s">
        <v>181</v>
      </c>
      <c r="B26" s="130">
        <v>1.1827000000000001</v>
      </c>
      <c r="C26" s="125">
        <f t="shared" si="8"/>
        <v>2360.0778500000001</v>
      </c>
      <c r="D26" s="125">
        <f t="shared" si="7"/>
        <v>28320.934200000003</v>
      </c>
    </row>
    <row r="27" spans="1:4" x14ac:dyDescent="0.25">
      <c r="A27" s="120" t="s">
        <v>182</v>
      </c>
      <c r="B27" s="135">
        <v>1.2020152000000002</v>
      </c>
      <c r="C27" s="125">
        <f>B27*$B$33</f>
        <v>2398.6213316000003</v>
      </c>
      <c r="D27" s="125">
        <f t="shared" si="7"/>
        <v>28783.455979200004</v>
      </c>
    </row>
    <row r="28" spans="1:4" x14ac:dyDescent="0.25">
      <c r="A28" s="120" t="s">
        <v>183</v>
      </c>
      <c r="B28" s="136">
        <v>3.4170012000000001</v>
      </c>
      <c r="C28" s="125">
        <f>B28*$B$33</f>
        <v>6818.6258945999998</v>
      </c>
      <c r="D28" s="125">
        <f t="shared" si="7"/>
        <v>81823.51073519999</v>
      </c>
    </row>
    <row r="29" spans="1:4" ht="15.75" x14ac:dyDescent="0.25">
      <c r="A29" s="120" t="s">
        <v>184</v>
      </c>
      <c r="B29" s="137">
        <f>B28+B27+B26+B25+B24+B22+B17+B14+B13+B12+B11+B10+B8+B7+B6+B5+B4+B15</f>
        <v>17.750007200000002</v>
      </c>
      <c r="C29" s="138">
        <f>C28+C27+C26+C25+C24+C22+C17+C14+C13+C12+C11+C10+C8+C7+C6+C5+C4+C15</f>
        <v>35420.139367600001</v>
      </c>
      <c r="D29" s="138">
        <f t="shared" ref="D29" si="9">D28+D27+D26+D25+D24+D22+D17+D14+D13+D12+D11+D10+D8+D7+D6+D5+D4+D15</f>
        <v>425041.67241119995</v>
      </c>
    </row>
    <row r="30" spans="1:4" ht="33" customHeight="1" x14ac:dyDescent="0.25">
      <c r="A30" s="120" t="s">
        <v>185</v>
      </c>
      <c r="B30" s="139">
        <f>B31+B32</f>
        <v>0</v>
      </c>
      <c r="C30" s="139">
        <f t="shared" ref="C30:D30" si="10">C31+C32</f>
        <v>0</v>
      </c>
      <c r="D30" s="139">
        <f t="shared" si="10"/>
        <v>0</v>
      </c>
    </row>
    <row r="31" spans="1:4" x14ac:dyDescent="0.25">
      <c r="A31" s="120" t="s">
        <v>186</v>
      </c>
      <c r="B31" s="140"/>
      <c r="C31" s="119"/>
      <c r="D31" s="119"/>
    </row>
    <row r="32" spans="1:4" x14ac:dyDescent="0.25">
      <c r="A32" s="120" t="s">
        <v>187</v>
      </c>
      <c r="B32" s="140"/>
      <c r="C32" s="119"/>
      <c r="D32" s="119"/>
    </row>
    <row r="33" spans="1:4" x14ac:dyDescent="0.25">
      <c r="A33" s="141" t="s">
        <v>114</v>
      </c>
      <c r="B33" s="1">
        <f>'ТХ МКД'!C8</f>
        <v>1995.5</v>
      </c>
      <c r="C33" s="1"/>
      <c r="D33" s="1"/>
    </row>
    <row r="34" spans="1:4" x14ac:dyDescent="0.25">
      <c r="A34" s="1"/>
      <c r="B34" s="142" t="s">
        <v>188</v>
      </c>
      <c r="C34" s="2">
        <f>C29*3</f>
        <v>106260.4181028</v>
      </c>
      <c r="D3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18" sqref="C18:C19"/>
    </sheetView>
  </sheetViews>
  <sheetFormatPr defaultRowHeight="15" x14ac:dyDescent="0.25"/>
  <cols>
    <col min="1" max="1" width="78.140625" customWidth="1"/>
    <col min="2" max="2" width="21.5703125" customWidth="1"/>
    <col min="3" max="3" width="16.140625" style="2" customWidth="1"/>
    <col min="4" max="4" width="18" customWidth="1"/>
    <col min="5" max="5" width="13.7109375" customWidth="1"/>
  </cols>
  <sheetData>
    <row r="1" spans="1:5" ht="25.5" customHeight="1" x14ac:dyDescent="0.25">
      <c r="A1" s="64" t="s">
        <v>83</v>
      </c>
      <c r="B1" s="65"/>
      <c r="C1" s="66"/>
    </row>
    <row r="2" spans="1:5" ht="25.5" customHeight="1" x14ac:dyDescent="0.25">
      <c r="A2" s="59" t="s">
        <v>1</v>
      </c>
      <c r="B2" s="58" t="str">
        <f>'ТХ МКД'!B2</f>
        <v>РЕЧНАЯ, 4А</v>
      </c>
      <c r="C2" s="58"/>
      <c r="D2" s="58" t="str">
        <f>'ТХ МКД'!B2</f>
        <v>РЕЧНАЯ, 4А</v>
      </c>
      <c r="E2" s="78"/>
    </row>
    <row r="3" spans="1:5" ht="15.75" x14ac:dyDescent="0.25">
      <c r="A3" s="3"/>
      <c r="B3" s="4">
        <v>2020</v>
      </c>
      <c r="C3" s="4"/>
      <c r="D3" s="4">
        <v>2019</v>
      </c>
      <c r="E3" s="78"/>
    </row>
    <row r="4" spans="1:5" ht="17.25" customHeight="1" x14ac:dyDescent="0.25">
      <c r="A4" s="5" t="s">
        <v>30</v>
      </c>
      <c r="B4" s="60" t="s">
        <v>29</v>
      </c>
      <c r="C4" s="61" t="s">
        <v>34</v>
      </c>
      <c r="D4" s="82" t="s">
        <v>29</v>
      </c>
      <c r="E4" s="82" t="s">
        <v>34</v>
      </c>
    </row>
    <row r="5" spans="1:5" ht="21" customHeight="1" x14ac:dyDescent="0.25">
      <c r="A5" s="6" t="s">
        <v>2</v>
      </c>
      <c r="B5" s="7">
        <f>SUM(B6:B10)</f>
        <v>0.60719999999999996</v>
      </c>
      <c r="C5" s="62">
        <f>SUM(C6:C10)</f>
        <v>1211.6676000000002</v>
      </c>
      <c r="D5" s="77">
        <f>SUM(D6:D10)</f>
        <v>0.60719999999999996</v>
      </c>
      <c r="E5" s="79">
        <f>SUM(E6:E10)</f>
        <v>1211.6676000000002</v>
      </c>
    </row>
    <row r="6" spans="1:5" ht="39" customHeight="1" x14ac:dyDescent="0.25">
      <c r="A6" s="8" t="s">
        <v>3</v>
      </c>
      <c r="B6" s="9">
        <v>6.1600000000000002E-2</v>
      </c>
      <c r="C6" s="35">
        <f>B6*$B$31</f>
        <v>122.92280000000001</v>
      </c>
      <c r="D6" s="9">
        <v>6.1600000000000002E-2</v>
      </c>
      <c r="E6" s="81">
        <f>D6*$D$31</f>
        <v>122.92280000000001</v>
      </c>
    </row>
    <row r="7" spans="1:5" ht="18.75" customHeight="1" x14ac:dyDescent="0.25">
      <c r="A7" s="10" t="s">
        <v>4</v>
      </c>
      <c r="B7" s="9">
        <v>0.30020000000000002</v>
      </c>
      <c r="C7" s="35">
        <f t="shared" ref="C7:C29" si="0">B7*$B$31</f>
        <v>599.04910000000007</v>
      </c>
      <c r="D7" s="9">
        <v>0.30020000000000002</v>
      </c>
      <c r="E7" s="81">
        <f t="shared" ref="E7:E10" si="1">D7*$D$31</f>
        <v>599.04910000000007</v>
      </c>
    </row>
    <row r="8" spans="1:5" ht="25.5" x14ac:dyDescent="0.25">
      <c r="A8" s="8" t="s">
        <v>5</v>
      </c>
      <c r="B8" s="9">
        <v>2.8799999999999999E-2</v>
      </c>
      <c r="C8" s="35">
        <f>B8*$B$31</f>
        <v>57.470399999999998</v>
      </c>
      <c r="D8" s="9">
        <v>2.8799999999999999E-2</v>
      </c>
      <c r="E8" s="81">
        <f t="shared" si="1"/>
        <v>57.470399999999998</v>
      </c>
    </row>
    <row r="9" spans="1:5" ht="15.75" x14ac:dyDescent="0.25">
      <c r="A9" s="10" t="s">
        <v>6</v>
      </c>
      <c r="B9" s="9">
        <v>8.1199999999999994E-2</v>
      </c>
      <c r="C9" s="35">
        <f t="shared" si="0"/>
        <v>162.03459999999998</v>
      </c>
      <c r="D9" s="9">
        <v>8.1199999999999994E-2</v>
      </c>
      <c r="E9" s="81">
        <f t="shared" si="1"/>
        <v>162.03459999999998</v>
      </c>
    </row>
    <row r="10" spans="1:5" ht="15.75" x14ac:dyDescent="0.25">
      <c r="A10" s="10" t="s">
        <v>7</v>
      </c>
      <c r="B10" s="9">
        <v>0.13539999999999999</v>
      </c>
      <c r="C10" s="35">
        <f t="shared" si="0"/>
        <v>270.19069999999999</v>
      </c>
      <c r="D10" s="9">
        <v>0.13539999999999999</v>
      </c>
      <c r="E10" s="81">
        <f t="shared" si="1"/>
        <v>270.19069999999999</v>
      </c>
    </row>
    <row r="11" spans="1:5" s="1" customFormat="1" ht="15.75" hidden="1" x14ac:dyDescent="0.25">
      <c r="A11" s="10"/>
      <c r="B11" s="9"/>
      <c r="C11" s="53">
        <f t="shared" si="0"/>
        <v>0</v>
      </c>
    </row>
    <row r="12" spans="1:5" ht="15.75" x14ac:dyDescent="0.25">
      <c r="A12" s="6" t="s">
        <v>8</v>
      </c>
      <c r="B12" s="7">
        <f>SUM(B13:B20)</f>
        <v>5.6619390353955676</v>
      </c>
      <c r="C12" s="62">
        <f>SUM(C13:C20)</f>
        <v>11298.399345131857</v>
      </c>
      <c r="D12" s="75">
        <f>SUM(D13:D20)</f>
        <v>5.5965999999999996</v>
      </c>
      <c r="E12" s="62">
        <f>SUM(E13:E20)</f>
        <v>11168.015299999999</v>
      </c>
    </row>
    <row r="13" spans="1:5" ht="15.75" x14ac:dyDescent="0.25">
      <c r="A13" s="10" t="s">
        <v>9</v>
      </c>
      <c r="B13" s="9">
        <v>1.1272</v>
      </c>
      <c r="C13" s="35">
        <f t="shared" si="0"/>
        <v>2249.3276000000001</v>
      </c>
      <c r="D13" s="9">
        <v>1.1272</v>
      </c>
      <c r="E13" s="80">
        <f>D13*$D$31</f>
        <v>2249.3276000000001</v>
      </c>
    </row>
    <row r="14" spans="1:5" ht="15.75" x14ac:dyDescent="0.25">
      <c r="A14" s="10" t="s">
        <v>10</v>
      </c>
      <c r="B14" s="9">
        <v>0.1774</v>
      </c>
      <c r="C14" s="35">
        <f t="shared" si="0"/>
        <v>354.00170000000003</v>
      </c>
      <c r="D14" s="9">
        <v>0.1774</v>
      </c>
      <c r="E14" s="80">
        <f t="shared" ref="E14:E20" si="2">D14*$D$31</f>
        <v>354.00170000000003</v>
      </c>
    </row>
    <row r="15" spans="1:5" ht="15.75" x14ac:dyDescent="0.25">
      <c r="A15" s="10" t="s">
        <v>11</v>
      </c>
      <c r="B15" s="9">
        <v>0.2843</v>
      </c>
      <c r="C15" s="35">
        <f t="shared" si="0"/>
        <v>567.32065</v>
      </c>
      <c r="D15" s="9">
        <v>0.2843</v>
      </c>
      <c r="E15" s="80">
        <f t="shared" si="2"/>
        <v>567.32065</v>
      </c>
    </row>
    <row r="16" spans="1:5" ht="15.75" x14ac:dyDescent="0.25">
      <c r="A16" s="11" t="s">
        <v>12</v>
      </c>
      <c r="B16" s="9">
        <v>8.5000000000000006E-2</v>
      </c>
      <c r="C16" s="35">
        <f t="shared" si="0"/>
        <v>169.61750000000001</v>
      </c>
      <c r="D16" s="9">
        <v>8.5000000000000006E-2</v>
      </c>
      <c r="E16" s="80">
        <f t="shared" si="2"/>
        <v>169.61750000000001</v>
      </c>
    </row>
    <row r="17" spans="1:5" ht="15.75" x14ac:dyDescent="0.25">
      <c r="A17" s="10" t="s">
        <v>13</v>
      </c>
      <c r="B17" s="9">
        <v>3.0427</v>
      </c>
      <c r="C17" s="35">
        <f t="shared" si="0"/>
        <v>6071.7078499999998</v>
      </c>
      <c r="D17" s="9">
        <v>3.0427</v>
      </c>
      <c r="E17" s="80">
        <f t="shared" si="2"/>
        <v>6071.7078499999998</v>
      </c>
    </row>
    <row r="18" spans="1:5" ht="15.75" x14ac:dyDescent="0.25">
      <c r="A18" s="10" t="s">
        <v>14</v>
      </c>
      <c r="B18" s="9">
        <v>0.42352351348641326</v>
      </c>
      <c r="C18" s="35">
        <f t="shared" si="0"/>
        <v>845.14117116213765</v>
      </c>
      <c r="D18" s="9">
        <v>0.38229999999999997</v>
      </c>
      <c r="E18" s="80">
        <f t="shared" si="2"/>
        <v>762.87964999999997</v>
      </c>
    </row>
    <row r="19" spans="1:5" ht="15.75" x14ac:dyDescent="0.25">
      <c r="A19" s="10" t="s">
        <v>15</v>
      </c>
      <c r="B19" s="9">
        <v>0.2474155219091547</v>
      </c>
      <c r="C19" s="35">
        <f t="shared" si="0"/>
        <v>493.71767396971819</v>
      </c>
      <c r="D19" s="9">
        <v>0.2233</v>
      </c>
      <c r="E19" s="80">
        <f t="shared" si="2"/>
        <v>445.59514999999999</v>
      </c>
    </row>
    <row r="20" spans="1:5" ht="15.75" x14ac:dyDescent="0.25">
      <c r="A20" s="11" t="s">
        <v>16</v>
      </c>
      <c r="B20" s="9">
        <v>0.27439999999999998</v>
      </c>
      <c r="C20" s="35">
        <f t="shared" si="0"/>
        <v>547.5652</v>
      </c>
      <c r="D20" s="9">
        <v>0.27439999999999998</v>
      </c>
      <c r="E20" s="80">
        <f t="shared" si="2"/>
        <v>547.5652</v>
      </c>
    </row>
    <row r="21" spans="1:5" ht="28.5" x14ac:dyDescent="0.25">
      <c r="A21" s="6" t="s">
        <v>17</v>
      </c>
      <c r="B21" s="7">
        <f>SUM(B22:B27)</f>
        <v>5.3074999999999992</v>
      </c>
      <c r="C21" s="62">
        <f>SUM(C22:C27)</f>
        <v>10591.116249999999</v>
      </c>
      <c r="D21" s="75">
        <f>SUM(D22:D27)</f>
        <v>5.3074999999999992</v>
      </c>
      <c r="E21" s="62">
        <f>SUM(E22:E27)</f>
        <v>10591.116249999999</v>
      </c>
    </row>
    <row r="22" spans="1:5" ht="15.75" x14ac:dyDescent="0.25">
      <c r="A22" s="10" t="s">
        <v>18</v>
      </c>
      <c r="B22" s="9">
        <v>0</v>
      </c>
      <c r="C22" s="41">
        <f t="shared" si="0"/>
        <v>0</v>
      </c>
      <c r="D22" s="9">
        <v>0</v>
      </c>
      <c r="E22" s="80">
        <f>D22*$D$31</f>
        <v>0</v>
      </c>
    </row>
    <row r="23" spans="1:5" ht="15.75" x14ac:dyDescent="0.25">
      <c r="A23" s="10" t="s">
        <v>19</v>
      </c>
      <c r="B23" s="9">
        <v>1.5812999999999999</v>
      </c>
      <c r="C23" s="35">
        <f t="shared" si="0"/>
        <v>3155.4841499999998</v>
      </c>
      <c r="D23" s="9">
        <v>1.5812999999999999</v>
      </c>
      <c r="E23" s="80">
        <f t="shared" ref="E23:E29" si="3">D23*$D$31</f>
        <v>3155.4841499999998</v>
      </c>
    </row>
    <row r="24" spans="1:5" ht="15.75" x14ac:dyDescent="0.25">
      <c r="A24" s="10" t="s">
        <v>20</v>
      </c>
      <c r="B24" s="9">
        <v>0</v>
      </c>
      <c r="C24" s="35">
        <f t="shared" si="0"/>
        <v>0</v>
      </c>
      <c r="D24" s="9">
        <v>0</v>
      </c>
      <c r="E24" s="80">
        <f t="shared" si="3"/>
        <v>0</v>
      </c>
    </row>
    <row r="25" spans="1:5" ht="15.75" x14ac:dyDescent="0.25">
      <c r="A25" s="10" t="s">
        <v>21</v>
      </c>
      <c r="B25" s="9">
        <v>1.6787000000000001</v>
      </c>
      <c r="C25" s="35">
        <f t="shared" si="0"/>
        <v>3349.8458500000002</v>
      </c>
      <c r="D25" s="9">
        <v>1.6787000000000001</v>
      </c>
      <c r="E25" s="80">
        <f t="shared" si="3"/>
        <v>3349.8458500000002</v>
      </c>
    </row>
    <row r="26" spans="1:5" ht="15.75" x14ac:dyDescent="0.25">
      <c r="A26" s="10" t="s">
        <v>22</v>
      </c>
      <c r="B26" s="9">
        <v>0.45739999999999997</v>
      </c>
      <c r="C26" s="35">
        <f t="shared" si="0"/>
        <v>912.74169999999992</v>
      </c>
      <c r="D26" s="9">
        <v>0.45739999999999997</v>
      </c>
      <c r="E26" s="80">
        <f t="shared" si="3"/>
        <v>912.74169999999992</v>
      </c>
    </row>
    <row r="27" spans="1:5" ht="15.75" x14ac:dyDescent="0.25">
      <c r="A27" s="10" t="s">
        <v>23</v>
      </c>
      <c r="B27" s="9">
        <v>1.5901000000000001</v>
      </c>
      <c r="C27" s="35">
        <f t="shared" si="0"/>
        <v>3173.0445500000001</v>
      </c>
      <c r="D27" s="9">
        <v>1.5901000000000001</v>
      </c>
      <c r="E27" s="80">
        <f t="shared" si="3"/>
        <v>3173.0445500000001</v>
      </c>
    </row>
    <row r="28" spans="1:5" ht="15.75" x14ac:dyDescent="0.25">
      <c r="A28" s="6" t="s">
        <v>24</v>
      </c>
      <c r="B28" s="7">
        <v>1.1619999999999999</v>
      </c>
      <c r="C28" s="35">
        <f>B28*$B$31</f>
        <v>2318.7709999999997</v>
      </c>
      <c r="D28" s="7">
        <v>1.1619999999999999</v>
      </c>
      <c r="E28" s="80">
        <f t="shared" si="3"/>
        <v>2318.7709999999997</v>
      </c>
    </row>
    <row r="29" spans="1:5" ht="15.75" x14ac:dyDescent="0.25">
      <c r="A29" s="6" t="s">
        <v>25</v>
      </c>
      <c r="B29" s="7">
        <v>3.3031999999999999</v>
      </c>
      <c r="C29" s="35">
        <f t="shared" si="0"/>
        <v>6591.5356000000002</v>
      </c>
      <c r="D29" s="7">
        <v>3.3031999999999999</v>
      </c>
      <c r="E29" s="80">
        <f t="shared" si="3"/>
        <v>6591.5356000000002</v>
      </c>
    </row>
    <row r="30" spans="1:5" ht="15.75" x14ac:dyDescent="0.25">
      <c r="A30" s="67" t="s">
        <v>26</v>
      </c>
      <c r="B30" s="12">
        <f>B29+B28+B27+B26+B25+B24+B23+B22+B20+B19+B18+B17+B16+B15+B14+B13+B10+B9+B8+B7+B6</f>
        <v>16.041839035395569</v>
      </c>
      <c r="C30" s="63">
        <f>C29+C28+C27+C26+C25+C24+C23+C22+C20+C19+C18+C17+C16+C15+C14+C13+C10+C9+C8+C7+C6</f>
        <v>32011.489795131853</v>
      </c>
      <c r="D30" s="76">
        <f>D29+D28+D27+D26+D25+D24+D23+D22+D20+D19+D18+D17+D16+D15+D14+D13+D10+D9+D8+D7+D6</f>
        <v>15.976500000000003</v>
      </c>
      <c r="E30" s="63">
        <f>E29+E28+E27+E26+E25+E24+E23+E22+E20+E19+E18+E17+E16+E15+E14+E13+E10+E9+E8+E7+E6</f>
        <v>31881.105749999999</v>
      </c>
    </row>
    <row r="31" spans="1:5" ht="15.75" x14ac:dyDescent="0.25">
      <c r="A31" s="6" t="s">
        <v>27</v>
      </c>
      <c r="B31" s="74">
        <v>1995.5</v>
      </c>
      <c r="C31" s="74"/>
      <c r="D31" s="74">
        <v>1995.5</v>
      </c>
      <c r="E31" s="74"/>
    </row>
    <row r="32" spans="1:5" ht="15.75" x14ac:dyDescent="0.25">
      <c r="A32" s="6" t="s">
        <v>28</v>
      </c>
      <c r="B32" s="35">
        <f>B30*B31</f>
        <v>32011.489795131856</v>
      </c>
      <c r="C32" s="35"/>
      <c r="D32" s="35">
        <f t="shared" ref="D32" si="4">D30*D31</f>
        <v>31881.105750000006</v>
      </c>
      <c r="E32" s="35"/>
    </row>
    <row r="34" spans="3:3" x14ac:dyDescent="0.25">
      <c r="C34" s="2">
        <f>C30*9</f>
        <v>288103.40815618669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topLeftCell="A39" zoomScaleNormal="100" workbookViewId="0">
      <selection activeCell="A27" sqref="A27"/>
    </sheetView>
  </sheetViews>
  <sheetFormatPr defaultRowHeight="15" x14ac:dyDescent="0.25"/>
  <cols>
    <col min="1" max="1" width="56.42578125" style="1" customWidth="1"/>
    <col min="2" max="2" width="14.28515625" style="2" customWidth="1"/>
    <col min="3" max="3" width="13.7109375" style="2" hidden="1" customWidth="1"/>
    <col min="4" max="4" width="12.85546875" style="2" customWidth="1"/>
    <col min="5" max="5" width="14.28515625" style="2" customWidth="1"/>
    <col min="6" max="6" width="19.28515625" style="2" customWidth="1"/>
    <col min="7" max="7" width="17.140625" style="2" customWidth="1"/>
    <col min="8" max="8" width="20.28515625" style="1" customWidth="1"/>
    <col min="9" max="9" width="11.140625" style="1" customWidth="1"/>
    <col min="10" max="13" width="9.140625" style="1" customWidth="1"/>
    <col min="14" max="16384" width="9.140625" style="1"/>
  </cols>
  <sheetData>
    <row r="1" spans="1:11" ht="28.5" customHeight="1" x14ac:dyDescent="0.25">
      <c r="A1" s="68" t="s">
        <v>47</v>
      </c>
      <c r="B1" s="48"/>
      <c r="C1" s="48"/>
      <c r="D1" s="48"/>
      <c r="E1" s="48"/>
      <c r="F1" s="48"/>
    </row>
    <row r="2" spans="1:11" ht="30" customHeight="1" x14ac:dyDescent="0.25">
      <c r="A2" s="68" t="s">
        <v>82</v>
      </c>
      <c r="B2" s="48"/>
      <c r="C2" s="48"/>
      <c r="D2" s="48"/>
      <c r="E2" s="48"/>
      <c r="F2" s="48"/>
    </row>
    <row r="3" spans="1:11" ht="23.25" customHeight="1" x14ac:dyDescent="0.25">
      <c r="A3" s="144" t="s">
        <v>153</v>
      </c>
      <c r="B3" s="144"/>
      <c r="C3" s="144"/>
      <c r="D3" s="144"/>
      <c r="E3" s="144"/>
      <c r="F3" s="144"/>
      <c r="G3" s="20"/>
    </row>
    <row r="4" spans="1:11" ht="22.5" customHeight="1" x14ac:dyDescent="0.25">
      <c r="A4" s="57" t="s">
        <v>1</v>
      </c>
      <c r="B4" s="145" t="str">
        <f>тариф!B2</f>
        <v>РЕЧНАЯ, 4А</v>
      </c>
      <c r="C4" s="146"/>
      <c r="D4" s="146"/>
      <c r="E4" s="146"/>
      <c r="F4" s="147"/>
      <c r="G4" s="25"/>
    </row>
    <row r="5" spans="1:11" ht="20.25" customHeight="1" x14ac:dyDescent="0.25">
      <c r="A5" s="148" t="s">
        <v>30</v>
      </c>
      <c r="B5" s="151" t="s">
        <v>44</v>
      </c>
      <c r="C5" s="152"/>
      <c r="D5" s="153"/>
      <c r="E5" s="51" t="s">
        <v>45</v>
      </c>
      <c r="F5" s="51" t="s">
        <v>72</v>
      </c>
    </row>
    <row r="6" spans="1:11" ht="18" customHeight="1" x14ac:dyDescent="0.25">
      <c r="A6" s="149"/>
      <c r="B6" s="24" t="s">
        <v>43</v>
      </c>
      <c r="C6" s="24" t="s">
        <v>42</v>
      </c>
      <c r="D6" s="24" t="s">
        <v>42</v>
      </c>
      <c r="E6" s="24" t="s">
        <v>42</v>
      </c>
      <c r="F6" s="24" t="s">
        <v>73</v>
      </c>
      <c r="G6" s="26"/>
    </row>
    <row r="7" spans="1:11" ht="15.75" x14ac:dyDescent="0.25">
      <c r="A7" s="150"/>
      <c r="B7" s="34" t="s">
        <v>34</v>
      </c>
      <c r="C7" s="34" t="s">
        <v>34</v>
      </c>
      <c r="D7" s="34" t="s">
        <v>34</v>
      </c>
      <c r="E7" s="34" t="s">
        <v>34</v>
      </c>
      <c r="F7" s="34" t="s">
        <v>34</v>
      </c>
      <c r="G7" s="21"/>
    </row>
    <row r="8" spans="1:11" ht="15.75" x14ac:dyDescent="0.25">
      <c r="A8" s="55">
        <v>1</v>
      </c>
      <c r="B8" s="56">
        <v>2</v>
      </c>
      <c r="C8" s="56"/>
      <c r="D8" s="56">
        <v>3</v>
      </c>
      <c r="E8" s="56">
        <v>4</v>
      </c>
      <c r="F8" s="56">
        <v>5</v>
      </c>
      <c r="G8" s="21"/>
    </row>
    <row r="9" spans="1:11" ht="17.25" customHeight="1" x14ac:dyDescent="0.25">
      <c r="A9" s="29" t="s">
        <v>2</v>
      </c>
      <c r="B9" s="15">
        <f>B10+B15+B20+B25+B30</f>
        <v>1211.6676000000002</v>
      </c>
      <c r="C9" s="15">
        <f>C10+C15+C20+C25+C30</f>
        <v>14540.011199999999</v>
      </c>
      <c r="D9" s="15">
        <f t="shared" ref="D9:E9" si="0">D10+D15+D20+D25+D30</f>
        <v>14540.011199999999</v>
      </c>
      <c r="E9" s="15">
        <f t="shared" si="0"/>
        <v>0</v>
      </c>
      <c r="F9" s="15">
        <f>D9-E9</f>
        <v>14540.011199999999</v>
      </c>
      <c r="G9" s="23">
        <f>тариф!C5</f>
        <v>1211.6676000000002</v>
      </c>
      <c r="H9" s="23"/>
    </row>
    <row r="10" spans="1:11" ht="63.75" customHeight="1" x14ac:dyDescent="0.25">
      <c r="A10" s="31" t="s">
        <v>3</v>
      </c>
      <c r="B10" s="35">
        <f>G10</f>
        <v>122.92280000000001</v>
      </c>
      <c r="C10" s="35">
        <f>B10*12</f>
        <v>1475.0736000000002</v>
      </c>
      <c r="D10" s="35">
        <f>B10*12</f>
        <v>1475.0736000000002</v>
      </c>
      <c r="E10" s="35">
        <f>SUM(E11:E14)</f>
        <v>0</v>
      </c>
      <c r="F10" s="15">
        <f t="shared" ref="F10:F72" si="1">D10-E10</f>
        <v>1475.0736000000002</v>
      </c>
      <c r="G10" s="22">
        <f>тариф!C6</f>
        <v>122.92280000000001</v>
      </c>
      <c r="H10" s="1" t="s">
        <v>97</v>
      </c>
      <c r="I10" s="1" t="s">
        <v>98</v>
      </c>
    </row>
    <row r="11" spans="1:11" ht="17.25" customHeight="1" x14ac:dyDescent="0.25">
      <c r="A11" s="36" t="s">
        <v>36</v>
      </c>
      <c r="B11" s="35"/>
      <c r="C11" s="35"/>
      <c r="D11" s="35"/>
      <c r="E11" s="35">
        <v>0</v>
      </c>
      <c r="F11" s="15"/>
      <c r="G11" s="22">
        <f>(H14+I14)</f>
        <v>124.26267756945148</v>
      </c>
      <c r="H11" s="18">
        <v>19379</v>
      </c>
      <c r="I11" s="1">
        <v>21085</v>
      </c>
      <c r="K11" s="18"/>
    </row>
    <row r="12" spans="1:11" ht="14.25" customHeight="1" x14ac:dyDescent="0.25">
      <c r="A12" s="36" t="s">
        <v>37</v>
      </c>
      <c r="B12" s="35"/>
      <c r="C12" s="35"/>
      <c r="D12" s="35"/>
      <c r="E12" s="35">
        <v>0</v>
      </c>
      <c r="F12" s="15"/>
      <c r="G12" s="22">
        <f>G11*0.302</f>
        <v>37.527328625974349</v>
      </c>
      <c r="H12" s="90">
        <f>('ТХ МКД'!B7+'ТХ МКД'!B28*0.5)*0.0111/1000</f>
        <v>3.5674289999999997E-2</v>
      </c>
      <c r="I12" s="90">
        <f>('ТХ МКД'!B7+'ТХ МКД'!B28*0.5)*0.00539/1000</f>
        <v>1.7322921000000002E-2</v>
      </c>
    </row>
    <row r="13" spans="1:11" ht="14.25" customHeight="1" x14ac:dyDescent="0.25">
      <c r="A13" s="36" t="s">
        <v>38</v>
      </c>
      <c r="B13" s="35"/>
      <c r="C13" s="35"/>
      <c r="D13" s="35"/>
      <c r="E13" s="35">
        <v>0</v>
      </c>
      <c r="F13" s="15"/>
      <c r="G13" s="22">
        <f>G10-G11-G12</f>
        <v>-38.867206195425823</v>
      </c>
      <c r="H13" s="90">
        <f>H12*0.109</f>
        <v>3.8884976099999996E-3</v>
      </c>
      <c r="I13" s="90">
        <f>I12*0.1339</f>
        <v>2.3195391218999999E-3</v>
      </c>
    </row>
    <row r="14" spans="1:11" ht="14.25" customHeight="1" x14ac:dyDescent="0.25">
      <c r="A14" s="36" t="s">
        <v>0</v>
      </c>
      <c r="B14" s="35"/>
      <c r="C14" s="35"/>
      <c r="D14" s="35"/>
      <c r="E14" s="35">
        <v>0</v>
      </c>
      <c r="F14" s="15"/>
      <c r="G14" s="22"/>
      <c r="H14" s="92">
        <f>H11*H13</f>
        <v>75.355195184189995</v>
      </c>
      <c r="I14" s="92">
        <f>I11*I13</f>
        <v>48.907482385261495</v>
      </c>
    </row>
    <row r="15" spans="1:11" ht="33.75" customHeight="1" x14ac:dyDescent="0.25">
      <c r="A15" s="31" t="s">
        <v>4</v>
      </c>
      <c r="B15" s="35">
        <f>G15</f>
        <v>599.04910000000007</v>
      </c>
      <c r="C15" s="35">
        <f>B15*12</f>
        <v>7188.5892000000003</v>
      </c>
      <c r="D15" s="35">
        <f>B15*12</f>
        <v>7188.5892000000003</v>
      </c>
      <c r="E15" s="35">
        <f>SUM(E16:E19)</f>
        <v>0</v>
      </c>
      <c r="F15" s="15">
        <f t="shared" si="1"/>
        <v>7188.5892000000003</v>
      </c>
      <c r="G15" s="22">
        <f>тариф!C7</f>
        <v>599.04910000000007</v>
      </c>
      <c r="H15" s="1" t="s">
        <v>99</v>
      </c>
      <c r="I15" s="1" t="s">
        <v>100</v>
      </c>
    </row>
    <row r="16" spans="1:11" ht="14.25" customHeight="1" x14ac:dyDescent="0.25">
      <c r="A16" s="37" t="s">
        <v>36</v>
      </c>
      <c r="B16" s="35"/>
      <c r="C16" s="35"/>
      <c r="D16" s="35"/>
      <c r="E16" s="35">
        <v>0</v>
      </c>
      <c r="F16" s="15"/>
      <c r="G16" s="22">
        <f>H19+I19</f>
        <v>443.73845774268449</v>
      </c>
      <c r="H16" s="1">
        <v>21085</v>
      </c>
      <c r="I16" s="1">
        <v>19379</v>
      </c>
    </row>
    <row r="17" spans="1:9" ht="14.25" customHeight="1" x14ac:dyDescent="0.25">
      <c r="A17" s="37" t="s">
        <v>37</v>
      </c>
      <c r="B17" s="35"/>
      <c r="C17" s="35"/>
      <c r="D17" s="35"/>
      <c r="E17" s="35">
        <v>0</v>
      </c>
      <c r="F17" s="15"/>
      <c r="G17" s="22">
        <f>G16*0.302</f>
        <v>134.00901423829072</v>
      </c>
      <c r="H17" s="90">
        <f>('ТХ МКД'!B7+'ТХ МКД'!B28*0.5)*0.0018/1000</f>
        <v>5.7850200000000001E-3</v>
      </c>
      <c r="I17" s="90">
        <f>('ТХ МКД'!B7+'ТХ МКД'!B28*0.5)*0.02295/1000</f>
        <v>7.3759005000000002E-2</v>
      </c>
    </row>
    <row r="18" spans="1:9" ht="14.25" customHeight="1" x14ac:dyDescent="0.25">
      <c r="A18" s="37" t="s">
        <v>38</v>
      </c>
      <c r="B18" s="35"/>
      <c r="C18" s="35"/>
      <c r="D18" s="35"/>
      <c r="E18" s="35">
        <v>0</v>
      </c>
      <c r="F18" s="15"/>
      <c r="G18" s="22">
        <f>G15-G16-G17</f>
        <v>21.301628019024861</v>
      </c>
      <c r="H18" s="90">
        <f>H17*0.5079</f>
        <v>2.938211658E-3</v>
      </c>
      <c r="I18" s="90">
        <f>I17*0.2671</f>
        <v>1.9701030235499999E-2</v>
      </c>
    </row>
    <row r="19" spans="1:9" ht="14.25" customHeight="1" x14ac:dyDescent="0.25">
      <c r="A19" s="37" t="s">
        <v>0</v>
      </c>
      <c r="B19" s="35"/>
      <c r="C19" s="35"/>
      <c r="D19" s="35"/>
      <c r="E19" s="35">
        <v>0</v>
      </c>
      <c r="F19" s="15"/>
      <c r="G19" s="22"/>
      <c r="H19" s="92">
        <f>H16*H18</f>
        <v>61.95219280893</v>
      </c>
      <c r="I19" s="92">
        <f>I16*I18</f>
        <v>381.78626493375447</v>
      </c>
    </row>
    <row r="20" spans="1:9" ht="63.75" customHeight="1" x14ac:dyDescent="0.25">
      <c r="A20" s="31" t="s">
        <v>5</v>
      </c>
      <c r="B20" s="35">
        <f>G20</f>
        <v>57.470399999999998</v>
      </c>
      <c r="C20" s="35">
        <f>B20*12</f>
        <v>689.64480000000003</v>
      </c>
      <c r="D20" s="35">
        <f>B20*12</f>
        <v>689.64480000000003</v>
      </c>
      <c r="E20" s="35">
        <f>SUM(E21:E24)</f>
        <v>0</v>
      </c>
      <c r="F20" s="15">
        <f t="shared" si="1"/>
        <v>689.64480000000003</v>
      </c>
      <c r="G20" s="22">
        <f>тариф!C8</f>
        <v>57.470399999999998</v>
      </c>
      <c r="H20" s="1" t="s">
        <v>102</v>
      </c>
    </row>
    <row r="21" spans="1:9" ht="15.75" x14ac:dyDescent="0.25">
      <c r="A21" s="37" t="s">
        <v>36</v>
      </c>
      <c r="B21" s="35"/>
      <c r="C21" s="35"/>
      <c r="D21" s="35"/>
      <c r="E21" s="35">
        <v>0</v>
      </c>
      <c r="F21" s="15"/>
      <c r="G21" s="22">
        <f>H24</f>
        <v>65.925425805177596</v>
      </c>
      <c r="H21" s="1">
        <v>19379</v>
      </c>
    </row>
    <row r="22" spans="1:9" ht="15.75" x14ac:dyDescent="0.25">
      <c r="A22" s="37" t="s">
        <v>37</v>
      </c>
      <c r="B22" s="35"/>
      <c r="C22" s="35"/>
      <c r="D22" s="35"/>
      <c r="E22" s="35">
        <v>0</v>
      </c>
      <c r="F22" s="15"/>
      <c r="G22" s="22">
        <f>G21*0.302</f>
        <v>19.909478593163634</v>
      </c>
      <c r="H22" s="90">
        <f>('ТХ МКД'!B7+'ТХ МКД'!B28*0.5)*0.00888/1000</f>
        <v>2.8539432E-2</v>
      </c>
    </row>
    <row r="23" spans="1:9" ht="15.75" x14ac:dyDescent="0.25">
      <c r="A23" s="37" t="s">
        <v>38</v>
      </c>
      <c r="B23" s="35"/>
      <c r="C23" s="35"/>
      <c r="D23" s="35"/>
      <c r="E23" s="35">
        <v>0</v>
      </c>
      <c r="F23" s="15"/>
      <c r="G23" s="22">
        <f>G20-G21-G22</f>
        <v>-28.364504398341232</v>
      </c>
      <c r="H23" s="90">
        <f>H22*0.1192</f>
        <v>3.4019002943999998E-3</v>
      </c>
      <c r="I23" s="2"/>
    </row>
    <row r="24" spans="1:9" ht="15.75" x14ac:dyDescent="0.25">
      <c r="A24" s="37" t="s">
        <v>0</v>
      </c>
      <c r="B24" s="35"/>
      <c r="C24" s="35"/>
      <c r="D24" s="35"/>
      <c r="E24" s="35">
        <v>0</v>
      </c>
      <c r="F24" s="15"/>
      <c r="G24" s="22"/>
      <c r="H24" s="92">
        <f>H21*H23</f>
        <v>65.925425805177596</v>
      </c>
    </row>
    <row r="25" spans="1:9" ht="15.75" x14ac:dyDescent="0.25">
      <c r="A25" s="31" t="s">
        <v>6</v>
      </c>
      <c r="B25" s="35">
        <f>G25</f>
        <v>162.03459999999998</v>
      </c>
      <c r="C25" s="35">
        <f>B25*12</f>
        <v>1944.4151999999999</v>
      </c>
      <c r="D25" s="35">
        <f>B25*12</f>
        <v>1944.4151999999999</v>
      </c>
      <c r="E25" s="35">
        <f>SUM(E26:E29)</f>
        <v>0</v>
      </c>
      <c r="F25" s="15">
        <f t="shared" si="1"/>
        <v>1944.4151999999999</v>
      </c>
      <c r="G25" s="22">
        <f>тариф!C9</f>
        <v>162.03459999999998</v>
      </c>
      <c r="H25" s="1" t="s">
        <v>103</v>
      </c>
    </row>
    <row r="26" spans="1:9" ht="15.75" x14ac:dyDescent="0.25">
      <c r="A26" s="37" t="s">
        <v>36</v>
      </c>
      <c r="B26" s="35"/>
      <c r="C26" s="35"/>
      <c r="D26" s="35"/>
      <c r="E26" s="35">
        <v>0</v>
      </c>
      <c r="F26" s="15"/>
      <c r="G26" s="22">
        <f>H28</f>
        <v>99.721362840000012</v>
      </c>
      <c r="H26" s="1">
        <v>12188</v>
      </c>
    </row>
    <row r="27" spans="1:9" ht="15.75" x14ac:dyDescent="0.25">
      <c r="A27" s="37" t="s">
        <v>37</v>
      </c>
      <c r="B27" s="35"/>
      <c r="C27" s="35"/>
      <c r="D27" s="35"/>
      <c r="E27" s="35">
        <v>0</v>
      </c>
      <c r="F27" s="15"/>
      <c r="G27" s="22">
        <f>G26*0.302</f>
        <v>30.115851577680001</v>
      </c>
      <c r="H27" s="90">
        <f>'ТХ МКД'!B27*0.0263/1000</f>
        <v>8.1819300000000005E-3</v>
      </c>
    </row>
    <row r="28" spans="1:9" ht="15.75" x14ac:dyDescent="0.25">
      <c r="A28" s="37" t="s">
        <v>38</v>
      </c>
      <c r="B28" s="35"/>
      <c r="C28" s="35"/>
      <c r="D28" s="35"/>
      <c r="E28" s="35">
        <v>0</v>
      </c>
      <c r="F28" s="15"/>
      <c r="G28" s="22">
        <f>G25-G26-G27</f>
        <v>32.197385582319967</v>
      </c>
      <c r="H28" s="92">
        <f>H26*H27</f>
        <v>99.721362840000012</v>
      </c>
      <c r="I28" s="2"/>
    </row>
    <row r="29" spans="1:9" ht="15.75" x14ac:dyDescent="0.25">
      <c r="A29" s="37" t="s">
        <v>0</v>
      </c>
      <c r="B29" s="35"/>
      <c r="C29" s="35"/>
      <c r="D29" s="35"/>
      <c r="E29" s="35">
        <v>0</v>
      </c>
      <c r="F29" s="15"/>
      <c r="G29" s="22"/>
    </row>
    <row r="30" spans="1:9" ht="31.5" x14ac:dyDescent="0.25">
      <c r="A30" s="31" t="s">
        <v>7</v>
      </c>
      <c r="B30" s="35">
        <f>G30</f>
        <v>270.19069999999999</v>
      </c>
      <c r="C30" s="35">
        <f>B30*12</f>
        <v>3242.2883999999999</v>
      </c>
      <c r="D30" s="35">
        <f>B30*12</f>
        <v>3242.2883999999999</v>
      </c>
      <c r="E30" s="35">
        <f>SUM(E31:E34)</f>
        <v>0</v>
      </c>
      <c r="F30" s="15">
        <f t="shared" si="1"/>
        <v>3242.2883999999999</v>
      </c>
      <c r="G30" s="22">
        <f>тариф!C10</f>
        <v>270.19069999999999</v>
      </c>
      <c r="H30" s="1" t="s">
        <v>104</v>
      </c>
    </row>
    <row r="31" spans="1:9" ht="15.75" x14ac:dyDescent="0.25">
      <c r="A31" s="37" t="s">
        <v>36</v>
      </c>
      <c r="B31" s="35"/>
      <c r="C31" s="35"/>
      <c r="D31" s="35"/>
      <c r="E31" s="35"/>
      <c r="F31" s="15"/>
      <c r="G31" s="22">
        <f>H34</f>
        <v>70.589918734495996</v>
      </c>
      <c r="H31" s="1">
        <v>19379</v>
      </c>
    </row>
    <row r="32" spans="1:9" ht="15.75" x14ac:dyDescent="0.25">
      <c r="A32" s="37" t="s">
        <v>37</v>
      </c>
      <c r="B32" s="35"/>
      <c r="C32" s="35"/>
      <c r="D32" s="35"/>
      <c r="E32" s="35"/>
      <c r="F32" s="15"/>
      <c r="G32" s="22">
        <f>G31*0.302</f>
        <v>21.318155457817792</v>
      </c>
      <c r="H32" s="90">
        <f>'ТХ МКД'!B21/1000*0.0763</f>
        <v>2.3561440000000003E-2</v>
      </c>
    </row>
    <row r="33" spans="1:9" ht="15.75" customHeight="1" x14ac:dyDescent="0.25">
      <c r="A33" s="37" t="s">
        <v>84</v>
      </c>
      <c r="B33" s="35"/>
      <c r="C33" s="35"/>
      <c r="D33" s="35"/>
      <c r="E33" s="35"/>
      <c r="F33" s="15"/>
      <c r="G33" s="22">
        <f>G30-G31-G32</f>
        <v>178.2826258076862</v>
      </c>
      <c r="H33" s="90">
        <f>H32*0.1546</f>
        <v>3.642598624E-3</v>
      </c>
      <c r="I33" s="2"/>
    </row>
    <row r="34" spans="1:9" ht="15.75" x14ac:dyDescent="0.25">
      <c r="A34" s="37" t="s">
        <v>0</v>
      </c>
      <c r="B34" s="35"/>
      <c r="C34" s="35"/>
      <c r="D34" s="35"/>
      <c r="E34" s="35"/>
      <c r="F34" s="15"/>
      <c r="G34" s="22"/>
      <c r="H34" s="92">
        <f>H31*H33</f>
        <v>70.589918734495996</v>
      </c>
    </row>
    <row r="35" spans="1:9" ht="31.5" x14ac:dyDescent="0.25">
      <c r="A35" s="29" t="s">
        <v>8</v>
      </c>
      <c r="B35" s="15">
        <f>B36+B41+B46+B51+B56+B58+B60+B62</f>
        <v>11298.399345131857</v>
      </c>
      <c r="C35" s="15">
        <f t="shared" ref="C35:D35" si="2">C36+C41+C46+C51+C56+C58+C60+C62</f>
        <v>135580.79214158229</v>
      </c>
      <c r="D35" s="15">
        <f t="shared" si="2"/>
        <v>135580.79214158229</v>
      </c>
      <c r="E35" s="15">
        <f>E36+E41+E46+E51+E56+E58+E60+E62</f>
        <v>0</v>
      </c>
      <c r="F35" s="15">
        <f t="shared" si="1"/>
        <v>135580.79214158229</v>
      </c>
      <c r="G35" s="23">
        <f>тариф!C12</f>
        <v>11298.399345131857</v>
      </c>
      <c r="H35" s="94"/>
    </row>
    <row r="36" spans="1:9" ht="31.5" customHeight="1" x14ac:dyDescent="0.25">
      <c r="A36" s="31" t="s">
        <v>9</v>
      </c>
      <c r="B36" s="35">
        <f>G36</f>
        <v>2249.3276000000001</v>
      </c>
      <c r="C36" s="35">
        <f>B36*12</f>
        <v>26991.931199999999</v>
      </c>
      <c r="D36" s="35">
        <f>B36*12</f>
        <v>26991.931199999999</v>
      </c>
      <c r="E36" s="35">
        <f>SUM(E37:E40)</f>
        <v>0</v>
      </c>
      <c r="F36" s="15">
        <f t="shared" si="1"/>
        <v>26991.931199999999</v>
      </c>
      <c r="G36" s="22">
        <f>тариф!C13</f>
        <v>2249.3276000000001</v>
      </c>
      <c r="H36" s="95" t="s">
        <v>105</v>
      </c>
      <c r="I36" s="1" t="s">
        <v>106</v>
      </c>
    </row>
    <row r="37" spans="1:9" ht="15.75" x14ac:dyDescent="0.25">
      <c r="A37" s="37" t="s">
        <v>36</v>
      </c>
      <c r="B37" s="35"/>
      <c r="C37" s="35"/>
      <c r="D37" s="35"/>
      <c r="E37" s="35">
        <v>0</v>
      </c>
      <c r="F37" s="15"/>
      <c r="G37" s="22">
        <f>H40+I40</f>
        <v>979.9474569479969</v>
      </c>
      <c r="H37" s="1">
        <v>22182</v>
      </c>
      <c r="I37" s="1">
        <v>22182</v>
      </c>
    </row>
    <row r="38" spans="1:9" ht="15.75" x14ac:dyDescent="0.25">
      <c r="A38" s="37" t="s">
        <v>37</v>
      </c>
      <c r="B38" s="35"/>
      <c r="C38" s="35"/>
      <c r="D38" s="35"/>
      <c r="E38" s="35">
        <v>0</v>
      </c>
      <c r="F38" s="15"/>
      <c r="G38" s="22">
        <f>G37*0.302</f>
        <v>295.94413199829506</v>
      </c>
      <c r="H38" s="90">
        <f>'ТХ МКД'!B14/325</f>
        <v>0.11076923076923077</v>
      </c>
      <c r="I38" s="90">
        <f>('ТХ МКД'!B7+'ТХ МКД'!B28*0.5)*0.01631/1000</f>
        <v>5.2418709000000008E-2</v>
      </c>
    </row>
    <row r="39" spans="1:9" ht="15.75" x14ac:dyDescent="0.25">
      <c r="A39" s="37" t="s">
        <v>38</v>
      </c>
      <c r="B39" s="35"/>
      <c r="C39" s="35"/>
      <c r="D39" s="35"/>
      <c r="E39" s="35">
        <v>0</v>
      </c>
      <c r="F39" s="15"/>
      <c r="G39" s="22">
        <f>G36-G37-G38</f>
        <v>973.43601105370817</v>
      </c>
      <c r="H39" s="90">
        <f>H38*0.312746</f>
        <v>3.4642633846153847E-2</v>
      </c>
      <c r="I39" s="19">
        <f>I38*0.1819</f>
        <v>9.534963167100001E-3</v>
      </c>
    </row>
    <row r="40" spans="1:9" ht="15.75" x14ac:dyDescent="0.25">
      <c r="A40" s="37" t="s">
        <v>0</v>
      </c>
      <c r="B40" s="35"/>
      <c r="C40" s="35"/>
      <c r="D40" s="35"/>
      <c r="E40" s="35">
        <v>0</v>
      </c>
      <c r="F40" s="15"/>
      <c r="G40" s="22"/>
      <c r="H40" s="92">
        <f>H37*H39</f>
        <v>768.44290397538464</v>
      </c>
      <c r="I40" s="92">
        <f>I37*I39</f>
        <v>211.50455297261223</v>
      </c>
    </row>
    <row r="41" spans="1:9" ht="15.75" x14ac:dyDescent="0.25">
      <c r="A41" s="31" t="s">
        <v>10</v>
      </c>
      <c r="B41" s="35">
        <f>G41</f>
        <v>354.00170000000003</v>
      </c>
      <c r="C41" s="35">
        <f>B41*12</f>
        <v>4248.0204000000003</v>
      </c>
      <c r="D41" s="35">
        <f>B41*12</f>
        <v>4248.0204000000003</v>
      </c>
      <c r="E41" s="35">
        <f>SUM(E42:E45)</f>
        <v>0</v>
      </c>
      <c r="F41" s="15">
        <f t="shared" si="1"/>
        <v>4248.0204000000003</v>
      </c>
      <c r="G41" s="22">
        <f>тариф!C14</f>
        <v>354.00170000000003</v>
      </c>
      <c r="H41" s="1" t="s">
        <v>105</v>
      </c>
      <c r="I41" s="1" t="s">
        <v>106</v>
      </c>
    </row>
    <row r="42" spans="1:9" ht="15.75" x14ac:dyDescent="0.25">
      <c r="A42" s="37" t="s">
        <v>36</v>
      </c>
      <c r="B42" s="35"/>
      <c r="C42" s="35"/>
      <c r="D42" s="35"/>
      <c r="E42" s="35">
        <v>0</v>
      </c>
      <c r="F42" s="15"/>
      <c r="G42" s="22">
        <f>H45/2.2</f>
        <v>259.82064345524469</v>
      </c>
      <c r="H42" s="1">
        <v>22182</v>
      </c>
      <c r="I42" s="1">
        <v>22182</v>
      </c>
    </row>
    <row r="43" spans="1:9" ht="15.75" x14ac:dyDescent="0.25">
      <c r="A43" s="37" t="s">
        <v>37</v>
      </c>
      <c r="B43" s="35"/>
      <c r="C43" s="35"/>
      <c r="D43" s="35"/>
      <c r="E43" s="35">
        <v>0</v>
      </c>
      <c r="F43" s="15"/>
      <c r="G43" s="22">
        <f>G42*0.302</f>
        <v>78.46583432348389</v>
      </c>
      <c r="H43" s="90">
        <f>('ТХ МКД'!B7+'ТХ МКД'!B28*0.5)/39000</f>
        <v>8.2407692307692307E-2</v>
      </c>
    </row>
    <row r="44" spans="1:9" ht="15.75" x14ac:dyDescent="0.25">
      <c r="A44" s="37" t="s">
        <v>38</v>
      </c>
      <c r="B44" s="35"/>
      <c r="C44" s="35"/>
      <c r="D44" s="35"/>
      <c r="E44" s="35">
        <v>0</v>
      </c>
      <c r="F44" s="15"/>
      <c r="G44" s="22">
        <f>G41-G42-G43</f>
        <v>15.715222221271446</v>
      </c>
      <c r="H44" s="90">
        <f>H43*0.3127</f>
        <v>2.5768885384615383E-2</v>
      </c>
    </row>
    <row r="45" spans="1:9" ht="15.75" x14ac:dyDescent="0.25">
      <c r="A45" s="37" t="s">
        <v>0</v>
      </c>
      <c r="B45" s="35"/>
      <c r="C45" s="35"/>
      <c r="D45" s="35"/>
      <c r="E45" s="35">
        <v>0</v>
      </c>
      <c r="F45" s="15"/>
      <c r="G45" s="22"/>
      <c r="H45" s="92">
        <f>H42*H44</f>
        <v>571.60541560153843</v>
      </c>
    </row>
    <row r="46" spans="1:9" ht="15.75" x14ac:dyDescent="0.25">
      <c r="A46" s="31" t="s">
        <v>11</v>
      </c>
      <c r="B46" s="35">
        <f>G46</f>
        <v>567.32065</v>
      </c>
      <c r="C46" s="35">
        <f>B46*12</f>
        <v>6807.8477999999996</v>
      </c>
      <c r="D46" s="35">
        <f>B46*12</f>
        <v>6807.8477999999996</v>
      </c>
      <c r="E46" s="35">
        <f>SUM(E47:E50)</f>
        <v>0</v>
      </c>
      <c r="F46" s="15">
        <f t="shared" si="1"/>
        <v>6807.8477999999996</v>
      </c>
      <c r="G46" s="22">
        <f>тариф!C15</f>
        <v>567.32065</v>
      </c>
      <c r="H46" s="1" t="s">
        <v>107</v>
      </c>
    </row>
    <row r="47" spans="1:9" ht="15.75" x14ac:dyDescent="0.25">
      <c r="A47" s="37" t="s">
        <v>36</v>
      </c>
      <c r="B47" s="35"/>
      <c r="C47" s="35"/>
      <c r="D47" s="35"/>
      <c r="E47" s="35">
        <v>0</v>
      </c>
      <c r="F47" s="15"/>
      <c r="G47" s="22">
        <f>H49</f>
        <v>337.36</v>
      </c>
      <c r="H47" s="1">
        <v>21085</v>
      </c>
    </row>
    <row r="48" spans="1:9" ht="15.75" x14ac:dyDescent="0.25">
      <c r="A48" s="37" t="s">
        <v>37</v>
      </c>
      <c r="B48" s="35"/>
      <c r="C48" s="35"/>
      <c r="D48" s="35"/>
      <c r="E48" s="35">
        <v>0</v>
      </c>
      <c r="F48" s="15"/>
      <c r="G48" s="22">
        <f>G47*0.302</f>
        <v>101.88272000000001</v>
      </c>
      <c r="H48" s="90">
        <f>'ТХ МКД'!B16/2250</f>
        <v>1.6E-2</v>
      </c>
    </row>
    <row r="49" spans="1:9" ht="15.75" x14ac:dyDescent="0.25">
      <c r="A49" s="37" t="s">
        <v>38</v>
      </c>
      <c r="B49" s="35"/>
      <c r="C49" s="35"/>
      <c r="D49" s="35"/>
      <c r="E49" s="35">
        <v>0</v>
      </c>
      <c r="F49" s="15"/>
      <c r="G49" s="22">
        <f>G46-G47-G48</f>
        <v>128.07792999999998</v>
      </c>
      <c r="H49" s="92">
        <f>H47*H48</f>
        <v>337.36</v>
      </c>
    </row>
    <row r="50" spans="1:9" ht="15.75" x14ac:dyDescent="0.25">
      <c r="A50" s="37" t="s">
        <v>0</v>
      </c>
      <c r="B50" s="35"/>
      <c r="C50" s="35"/>
      <c r="D50" s="35"/>
      <c r="E50" s="35">
        <v>0</v>
      </c>
      <c r="F50" s="15"/>
      <c r="G50" s="22"/>
    </row>
    <row r="51" spans="1:9" ht="31.5" customHeight="1" x14ac:dyDescent="0.25">
      <c r="A51" s="32" t="s">
        <v>12</v>
      </c>
      <c r="B51" s="35">
        <f>G51</f>
        <v>169.61750000000001</v>
      </c>
      <c r="C51" s="35">
        <f>B51*12</f>
        <v>2035.41</v>
      </c>
      <c r="D51" s="35">
        <f>B51*12</f>
        <v>2035.41</v>
      </c>
      <c r="E51" s="35">
        <f>SUM(E52:E55)</f>
        <v>0</v>
      </c>
      <c r="F51" s="15">
        <f t="shared" si="1"/>
        <v>2035.41</v>
      </c>
      <c r="G51" s="22">
        <f>тариф!C16</f>
        <v>169.61750000000001</v>
      </c>
      <c r="H51" s="1" t="s">
        <v>108</v>
      </c>
    </row>
    <row r="52" spans="1:9" ht="15.75" x14ac:dyDescent="0.25">
      <c r="A52" s="37" t="s">
        <v>74</v>
      </c>
      <c r="B52" s="35"/>
      <c r="C52" s="35"/>
      <c r="D52" s="35"/>
      <c r="E52" s="35"/>
      <c r="F52" s="15"/>
      <c r="G52" s="22">
        <f>H55/1.433</f>
        <v>130.30618283321701</v>
      </c>
      <c r="H52" s="1">
        <v>21085</v>
      </c>
    </row>
    <row r="53" spans="1:9" ht="15.75" x14ac:dyDescent="0.25">
      <c r="A53" s="37" t="s">
        <v>37</v>
      </c>
      <c r="B53" s="35"/>
      <c r="C53" s="35"/>
      <c r="D53" s="35"/>
      <c r="E53" s="35"/>
      <c r="F53" s="15"/>
      <c r="G53" s="22">
        <f>G52*0.302</f>
        <v>39.352467215631535</v>
      </c>
      <c r="H53" s="1">
        <f>'ТХ МКД'!B12/1250</f>
        <v>2.8799999999999999E-2</v>
      </c>
      <c r="I53" s="1">
        <f>H52*H53</f>
        <v>607.24799999999993</v>
      </c>
    </row>
    <row r="54" spans="1:9" ht="15.75" x14ac:dyDescent="0.25">
      <c r="A54" s="37" t="s">
        <v>38</v>
      </c>
      <c r="B54" s="35"/>
      <c r="C54" s="35"/>
      <c r="D54" s="35"/>
      <c r="E54" s="35"/>
      <c r="F54" s="15"/>
      <c r="G54" s="22"/>
      <c r="H54" s="1">
        <f>H53*0.3075</f>
        <v>8.8559999999999993E-3</v>
      </c>
      <c r="I54" s="1">
        <f>I53*0.302</f>
        <v>183.38889599999999</v>
      </c>
    </row>
    <row r="55" spans="1:9" ht="15.75" x14ac:dyDescent="0.25">
      <c r="A55" s="37" t="s">
        <v>0</v>
      </c>
      <c r="B55" s="35"/>
      <c r="C55" s="35"/>
      <c r="D55" s="35"/>
      <c r="E55" s="35"/>
      <c r="F55" s="15"/>
      <c r="G55" s="22"/>
      <c r="H55" s="93">
        <f>H52*H54</f>
        <v>186.72875999999999</v>
      </c>
    </row>
    <row r="56" spans="1:9" ht="31.5" x14ac:dyDescent="0.25">
      <c r="A56" s="31" t="s">
        <v>13</v>
      </c>
      <c r="B56" s="35">
        <f>B57</f>
        <v>6071.7078499999998</v>
      </c>
      <c r="C56" s="35">
        <f t="shared" ref="C56:C71" si="3">B56*12</f>
        <v>72860.494200000001</v>
      </c>
      <c r="D56" s="35">
        <f>B56*12</f>
        <v>72860.494200000001</v>
      </c>
      <c r="E56" s="35">
        <f>E57</f>
        <v>0</v>
      </c>
      <c r="F56" s="15">
        <f>D56-E56</f>
        <v>72860.494200000001</v>
      </c>
      <c r="G56" s="22">
        <f>тариф!C17</f>
        <v>6071.7078499999998</v>
      </c>
    </row>
    <row r="57" spans="1:9" ht="15.75" x14ac:dyDescent="0.25">
      <c r="A57" s="38" t="s">
        <v>85</v>
      </c>
      <c r="B57" s="35">
        <f>G56</f>
        <v>6071.7078499999998</v>
      </c>
      <c r="C57" s="35">
        <f>B57*12</f>
        <v>72860.494200000001</v>
      </c>
      <c r="D57" s="35">
        <f>B57*6</f>
        <v>36430.247100000001</v>
      </c>
      <c r="E57" s="35"/>
      <c r="F57" s="15"/>
      <c r="G57" s="22"/>
    </row>
    <row r="58" spans="1:9" ht="15.75" x14ac:dyDescent="0.25">
      <c r="A58" s="31" t="s">
        <v>75</v>
      </c>
      <c r="B58" s="35">
        <f>B59</f>
        <v>1338.8588451318558</v>
      </c>
      <c r="C58" s="35">
        <f t="shared" si="3"/>
        <v>16066.30614158227</v>
      </c>
      <c r="D58" s="35">
        <f>B58*12</f>
        <v>16066.30614158227</v>
      </c>
      <c r="E58" s="35">
        <f>E59</f>
        <v>0</v>
      </c>
      <c r="F58" s="15">
        <f t="shared" si="1"/>
        <v>16066.30614158227</v>
      </c>
      <c r="G58" s="22">
        <f>тариф!C18+тариф!C19</f>
        <v>1338.8588451318558</v>
      </c>
    </row>
    <row r="59" spans="1:9" ht="33" customHeight="1" x14ac:dyDescent="0.25">
      <c r="A59" s="38" t="s">
        <v>76</v>
      </c>
      <c r="B59" s="35">
        <f>G58</f>
        <v>1338.8588451318558</v>
      </c>
      <c r="C59" s="35"/>
      <c r="D59" s="35">
        <f t="shared" ref="D59:D61" si="4">B59*12</f>
        <v>16066.30614158227</v>
      </c>
      <c r="E59" s="35"/>
      <c r="F59" s="15"/>
      <c r="G59" s="22"/>
    </row>
    <row r="60" spans="1:9" ht="15.75" hidden="1" x14ac:dyDescent="0.25">
      <c r="A60" s="31" t="s">
        <v>15</v>
      </c>
      <c r="B60" s="35">
        <f>B61</f>
        <v>0</v>
      </c>
      <c r="C60" s="35">
        <f t="shared" si="3"/>
        <v>0</v>
      </c>
      <c r="D60" s="35">
        <f t="shared" si="4"/>
        <v>0</v>
      </c>
      <c r="E60" s="35"/>
      <c r="F60" s="15">
        <f t="shared" si="1"/>
        <v>0</v>
      </c>
      <c r="G60" s="22"/>
    </row>
    <row r="61" spans="1:9" ht="31.5" hidden="1" x14ac:dyDescent="0.25">
      <c r="A61" s="38" t="s">
        <v>41</v>
      </c>
      <c r="B61" s="35"/>
      <c r="C61" s="35">
        <f t="shared" si="3"/>
        <v>0</v>
      </c>
      <c r="D61" s="35">
        <f t="shared" si="4"/>
        <v>0</v>
      </c>
      <c r="E61" s="35"/>
      <c r="F61" s="15">
        <f t="shared" si="1"/>
        <v>0</v>
      </c>
      <c r="G61" s="22"/>
    </row>
    <row r="62" spans="1:9" ht="31.5" customHeight="1" x14ac:dyDescent="0.25">
      <c r="A62" s="32" t="s">
        <v>16</v>
      </c>
      <c r="B62" s="35">
        <f>B63</f>
        <v>547.5652</v>
      </c>
      <c r="C62" s="35">
        <f t="shared" si="3"/>
        <v>6570.7824000000001</v>
      </c>
      <c r="D62" s="35">
        <f>B62*12</f>
        <v>6570.7824000000001</v>
      </c>
      <c r="E62" s="35">
        <f>E63</f>
        <v>0</v>
      </c>
      <c r="F62" s="15">
        <f t="shared" si="1"/>
        <v>6570.7824000000001</v>
      </c>
      <c r="G62" s="22">
        <f>тариф!C20</f>
        <v>547.5652</v>
      </c>
    </row>
    <row r="63" spans="1:9" ht="33" customHeight="1" x14ac:dyDescent="0.25">
      <c r="A63" s="39" t="s">
        <v>40</v>
      </c>
      <c r="B63" s="35">
        <f>G62</f>
        <v>547.5652</v>
      </c>
      <c r="C63" s="35"/>
      <c r="D63" s="35">
        <f>B63*12</f>
        <v>6570.7824000000001</v>
      </c>
      <c r="E63" s="35"/>
      <c r="F63" s="15"/>
      <c r="G63" s="22"/>
    </row>
    <row r="64" spans="1:9" ht="31.5" x14ac:dyDescent="0.25">
      <c r="A64" s="29" t="s">
        <v>17</v>
      </c>
      <c r="B64" s="16">
        <f>B65+B66+B71+B72+B77+B79</f>
        <v>10591.116249999999</v>
      </c>
      <c r="C64" s="16">
        <f t="shared" ref="C64:E64" si="5">C65+C66+C71+C72+C77+C79</f>
        <v>127093.39499999999</v>
      </c>
      <c r="D64" s="16">
        <f t="shared" si="5"/>
        <v>127093.39499999999</v>
      </c>
      <c r="E64" s="16">
        <f t="shared" si="5"/>
        <v>0</v>
      </c>
      <c r="F64" s="15">
        <f t="shared" si="1"/>
        <v>127093.39499999999</v>
      </c>
      <c r="G64" s="22"/>
      <c r="H64" s="27"/>
    </row>
    <row r="65" spans="1:8" ht="15.75" x14ac:dyDescent="0.25">
      <c r="A65" s="31" t="s">
        <v>18</v>
      </c>
      <c r="B65" s="47">
        <v>0</v>
      </c>
      <c r="C65" s="35">
        <f t="shared" si="3"/>
        <v>0</v>
      </c>
      <c r="D65" s="35">
        <f>B65*12</f>
        <v>0</v>
      </c>
      <c r="E65" s="35">
        <v>0</v>
      </c>
      <c r="F65" s="15">
        <f t="shared" si="1"/>
        <v>0</v>
      </c>
      <c r="G65" s="22"/>
    </row>
    <row r="66" spans="1:8" ht="31.5" customHeight="1" x14ac:dyDescent="0.25">
      <c r="A66" s="31" t="s">
        <v>19</v>
      </c>
      <c r="B66" s="35">
        <f>SUM(B67:B70)</f>
        <v>3155.4841499999998</v>
      </c>
      <c r="C66" s="35">
        <f>B66*12</f>
        <v>37865.809799999995</v>
      </c>
      <c r="D66" s="35">
        <f>B66*12</f>
        <v>37865.809799999995</v>
      </c>
      <c r="E66" s="35">
        <f>SUM(E67:E70)</f>
        <v>0</v>
      </c>
      <c r="F66" s="15">
        <f t="shared" si="1"/>
        <v>37865.809799999995</v>
      </c>
      <c r="G66" s="22">
        <f>тариф!C23</f>
        <v>3155.4841499999998</v>
      </c>
      <c r="H66" s="1" t="s">
        <v>149</v>
      </c>
    </row>
    <row r="67" spans="1:8" ht="15.75" x14ac:dyDescent="0.25">
      <c r="A67" s="37" t="s">
        <v>151</v>
      </c>
      <c r="B67" s="35">
        <f>G67</f>
        <v>2083.5676190476188</v>
      </c>
      <c r="C67" s="35">
        <f t="shared" ref="C67:C69" si="6">B67*12</f>
        <v>25002.811428571425</v>
      </c>
      <c r="D67" s="35">
        <f>B67*12</f>
        <v>25002.811428571425</v>
      </c>
      <c r="E67" s="35"/>
      <c r="F67" s="15"/>
      <c r="G67" s="22">
        <f>H69</f>
        <v>2083.5676190476188</v>
      </c>
      <c r="H67" s="1">
        <v>12188</v>
      </c>
    </row>
    <row r="68" spans="1:8" ht="15.75" x14ac:dyDescent="0.25">
      <c r="A68" s="37" t="s">
        <v>37</v>
      </c>
      <c r="B68" s="35">
        <f t="shared" ref="B68:B69" si="7">G68</f>
        <v>629.23742095238083</v>
      </c>
      <c r="C68" s="35">
        <f t="shared" si="6"/>
        <v>7550.8490514285695</v>
      </c>
      <c r="D68" s="35">
        <f>B68*12</f>
        <v>7550.8490514285695</v>
      </c>
      <c r="E68" s="35"/>
      <c r="F68" s="15"/>
      <c r="G68" s="22">
        <f>G67*0.302</f>
        <v>629.23742095238083</v>
      </c>
      <c r="H68" s="109">
        <f>'ТХ МКД'!B30/5250</f>
        <v>0.17095238095238094</v>
      </c>
    </row>
    <row r="69" spans="1:8" ht="15.75" x14ac:dyDescent="0.25">
      <c r="A69" s="37" t="s">
        <v>38</v>
      </c>
      <c r="B69" s="35">
        <f t="shared" si="7"/>
        <v>442.67911000000015</v>
      </c>
      <c r="C69" s="35">
        <f t="shared" si="6"/>
        <v>5312.1493200000023</v>
      </c>
      <c r="D69" s="35">
        <f>B69*12</f>
        <v>5312.1493200000023</v>
      </c>
      <c r="E69" s="35"/>
      <c r="F69" s="15"/>
      <c r="G69" s="22">
        <f>G66-G67-G68</f>
        <v>442.67911000000015</v>
      </c>
      <c r="H69" s="93">
        <f>H67*H68</f>
        <v>2083.5676190476188</v>
      </c>
    </row>
    <row r="70" spans="1:8" ht="15.75" x14ac:dyDescent="0.25">
      <c r="A70" s="37" t="s">
        <v>0</v>
      </c>
      <c r="B70" s="35"/>
      <c r="C70" s="35"/>
      <c r="D70" s="35"/>
      <c r="E70" s="35"/>
      <c r="F70" s="15"/>
      <c r="G70" s="22"/>
    </row>
    <row r="71" spans="1:8" ht="15.75" x14ac:dyDescent="0.25">
      <c r="A71" s="31" t="s">
        <v>20</v>
      </c>
      <c r="B71" s="35">
        <v>0</v>
      </c>
      <c r="C71" s="35">
        <f t="shared" si="3"/>
        <v>0</v>
      </c>
      <c r="D71" s="35">
        <f>B71*12</f>
        <v>0</v>
      </c>
      <c r="E71" s="35">
        <v>0</v>
      </c>
      <c r="F71" s="15"/>
      <c r="G71" s="22"/>
    </row>
    <row r="72" spans="1:8" ht="15.75" x14ac:dyDescent="0.25">
      <c r="A72" s="31" t="s">
        <v>21</v>
      </c>
      <c r="B72" s="35">
        <f>SUM(B73:B76)</f>
        <v>3349.8458500000002</v>
      </c>
      <c r="C72" s="35">
        <f>B72*12</f>
        <v>40198.150200000004</v>
      </c>
      <c r="D72" s="35">
        <f>B72*12</f>
        <v>40198.150200000004</v>
      </c>
      <c r="E72" s="35">
        <f>SUM(E73:E76)</f>
        <v>0</v>
      </c>
      <c r="F72" s="15">
        <f t="shared" si="1"/>
        <v>40198.150200000004</v>
      </c>
      <c r="G72" s="22">
        <f>тариф!C25</f>
        <v>3349.8458500000002</v>
      </c>
      <c r="H72" s="1" t="s">
        <v>150</v>
      </c>
    </row>
    <row r="73" spans="1:8" ht="31.5" x14ac:dyDescent="0.25">
      <c r="A73" s="37" t="s">
        <v>152</v>
      </c>
      <c r="B73" s="35">
        <v>2253.56</v>
      </c>
      <c r="C73" s="35">
        <f t="shared" ref="C73:C75" si="8">B73*12</f>
        <v>27042.720000000001</v>
      </c>
      <c r="D73" s="35">
        <f>B73*12</f>
        <v>27042.720000000001</v>
      </c>
      <c r="E73" s="35"/>
      <c r="F73" s="15"/>
      <c r="G73" s="22">
        <f>H75</f>
        <v>2253.6301886792453</v>
      </c>
      <c r="H73" s="1">
        <v>12188</v>
      </c>
    </row>
    <row r="74" spans="1:8" ht="15.75" x14ac:dyDescent="0.25">
      <c r="A74" s="37" t="s">
        <v>37</v>
      </c>
      <c r="B74" s="35">
        <f>B73*0.302</f>
        <v>680.57511999999997</v>
      </c>
      <c r="C74" s="35">
        <f t="shared" si="8"/>
        <v>8166.9014399999996</v>
      </c>
      <c r="D74" s="35">
        <f>B74*12</f>
        <v>8166.9014399999996</v>
      </c>
      <c r="E74" s="35"/>
      <c r="F74" s="15"/>
      <c r="G74" s="22">
        <f>G73*0.302</f>
        <v>680.59631698113208</v>
      </c>
      <c r="H74" s="90">
        <f>'ТХ МКД'!B18/530</f>
        <v>0.18490566037735848</v>
      </c>
    </row>
    <row r="75" spans="1:8" ht="15.75" x14ac:dyDescent="0.25">
      <c r="A75" s="37" t="s">
        <v>38</v>
      </c>
      <c r="B75" s="35">
        <f>G72-B74-B73</f>
        <v>415.71073000000024</v>
      </c>
      <c r="C75" s="35">
        <f t="shared" si="8"/>
        <v>4988.5287600000029</v>
      </c>
      <c r="D75" s="35">
        <f>B75*12</f>
        <v>4988.5287600000029</v>
      </c>
      <c r="E75" s="35"/>
      <c r="F75" s="15"/>
      <c r="G75" s="22">
        <f>G72-G73-G74</f>
        <v>415.61934433962278</v>
      </c>
      <c r="H75" s="93">
        <f>H73*H74</f>
        <v>2253.6301886792453</v>
      </c>
    </row>
    <row r="76" spans="1:8" ht="15.75" x14ac:dyDescent="0.25">
      <c r="A76" s="37" t="s">
        <v>0</v>
      </c>
      <c r="B76" s="35"/>
      <c r="C76" s="35"/>
      <c r="D76" s="35"/>
      <c r="E76" s="35"/>
      <c r="F76" s="15"/>
      <c r="G76" s="22"/>
    </row>
    <row r="77" spans="1:8" ht="33.75" customHeight="1" x14ac:dyDescent="0.25">
      <c r="A77" s="31" t="s">
        <v>22</v>
      </c>
      <c r="B77" s="35">
        <f>B78</f>
        <v>912.74169999999992</v>
      </c>
      <c r="C77" s="35">
        <f t="shared" ref="C77:C85" si="9">B77*12</f>
        <v>10952.900399999999</v>
      </c>
      <c r="D77" s="35">
        <f>B77*12</f>
        <v>10952.900399999999</v>
      </c>
      <c r="E77" s="35">
        <f>E78</f>
        <v>0</v>
      </c>
      <c r="F77" s="15">
        <f t="shared" ref="F77:F117" si="10">D77-E77</f>
        <v>10952.900399999999</v>
      </c>
      <c r="G77" s="22">
        <f>тариф!C26</f>
        <v>912.74169999999992</v>
      </c>
    </row>
    <row r="78" spans="1:8" ht="33" customHeight="1" x14ac:dyDescent="0.25">
      <c r="A78" s="38" t="s">
        <v>40</v>
      </c>
      <c r="B78" s="35">
        <f>G77</f>
        <v>912.74169999999992</v>
      </c>
      <c r="C78" s="35">
        <f t="shared" si="9"/>
        <v>10952.900399999999</v>
      </c>
      <c r="D78" s="35">
        <f>B78*12</f>
        <v>10952.900399999999</v>
      </c>
      <c r="E78" s="35"/>
      <c r="F78" s="15"/>
      <c r="G78" s="22"/>
    </row>
    <row r="79" spans="1:8" ht="18" customHeight="1" x14ac:dyDescent="0.25">
      <c r="A79" s="31" t="s">
        <v>23</v>
      </c>
      <c r="B79" s="35">
        <f>G79</f>
        <v>3173.0445500000001</v>
      </c>
      <c r="C79" s="35">
        <f t="shared" si="9"/>
        <v>38076.534599999999</v>
      </c>
      <c r="D79" s="35">
        <f>B79*12</f>
        <v>38076.534599999999</v>
      </c>
      <c r="E79" s="35">
        <f>SUM(E80:E83)</f>
        <v>0</v>
      </c>
      <c r="F79" s="15">
        <f t="shared" si="10"/>
        <v>38076.534599999999</v>
      </c>
      <c r="G79" s="22">
        <f>тариф!C27</f>
        <v>3173.0445500000001</v>
      </c>
    </row>
    <row r="80" spans="1:8" ht="15.75" x14ac:dyDescent="0.25">
      <c r="A80" s="37" t="s">
        <v>36</v>
      </c>
      <c r="B80" s="35"/>
      <c r="C80" s="35"/>
      <c r="D80" s="35"/>
      <c r="E80" s="35"/>
      <c r="F80" s="15"/>
      <c r="G80" s="22"/>
    </row>
    <row r="81" spans="1:7" ht="15.75" x14ac:dyDescent="0.25">
      <c r="A81" s="37" t="s">
        <v>37</v>
      </c>
      <c r="B81" s="35"/>
      <c r="C81" s="35"/>
      <c r="D81" s="35"/>
      <c r="E81" s="35"/>
      <c r="F81" s="15"/>
      <c r="G81" s="22"/>
    </row>
    <row r="82" spans="1:7" ht="15.75" x14ac:dyDescent="0.25">
      <c r="A82" s="37" t="s">
        <v>38</v>
      </c>
      <c r="B82" s="35"/>
      <c r="C82" s="35"/>
      <c r="D82" s="35"/>
      <c r="E82" s="35"/>
      <c r="F82" s="15"/>
      <c r="G82" s="22"/>
    </row>
    <row r="83" spans="1:7" ht="15.75" x14ac:dyDescent="0.25">
      <c r="A83" s="37" t="s">
        <v>0</v>
      </c>
      <c r="B83" s="35"/>
      <c r="C83" s="35"/>
      <c r="D83" s="35"/>
      <c r="E83" s="35"/>
      <c r="F83" s="15"/>
      <c r="G83" s="22"/>
    </row>
    <row r="84" spans="1:7" ht="15.75" hidden="1" x14ac:dyDescent="0.25">
      <c r="A84" s="29" t="s">
        <v>24</v>
      </c>
      <c r="B84" s="15"/>
      <c r="C84" s="15">
        <f t="shared" si="9"/>
        <v>0</v>
      </c>
      <c r="D84" s="35">
        <f t="shared" ref="D84" si="11">B84*6</f>
        <v>0</v>
      </c>
      <c r="E84" s="15"/>
      <c r="F84" s="15">
        <f t="shared" si="10"/>
        <v>0</v>
      </c>
      <c r="G84" s="22"/>
    </row>
    <row r="85" spans="1:7" ht="31.5" x14ac:dyDescent="0.25">
      <c r="A85" s="29" t="s">
        <v>81</v>
      </c>
      <c r="B85" s="15">
        <f>тариф!C28+тариф!C29</f>
        <v>8910.3065999999999</v>
      </c>
      <c r="C85" s="15">
        <f t="shared" si="9"/>
        <v>106923.6792</v>
      </c>
      <c r="D85" s="15">
        <f>B85*12</f>
        <v>106923.6792</v>
      </c>
      <c r="E85" s="15">
        <f>E86+E97</f>
        <v>0</v>
      </c>
      <c r="F85" s="15">
        <f t="shared" si="10"/>
        <v>106923.6792</v>
      </c>
      <c r="G85" s="22">
        <f>тариф!C28+тариф!C29</f>
        <v>8910.3065999999999</v>
      </c>
    </row>
    <row r="86" spans="1:7" ht="17.25" customHeight="1" x14ac:dyDescent="0.25">
      <c r="A86" s="69" t="s">
        <v>70</v>
      </c>
      <c r="B86" s="15"/>
      <c r="C86" s="15"/>
      <c r="D86" s="35"/>
      <c r="E86" s="15">
        <f>SUM(E87:E96)</f>
        <v>0</v>
      </c>
      <c r="F86" s="15"/>
      <c r="G86" s="22"/>
    </row>
    <row r="87" spans="1:7" ht="25.5" x14ac:dyDescent="0.25">
      <c r="A87" s="70" t="s">
        <v>86</v>
      </c>
      <c r="B87" s="15"/>
      <c r="C87" s="15"/>
      <c r="D87" s="35"/>
      <c r="E87" s="35"/>
      <c r="F87" s="15"/>
      <c r="G87" s="50"/>
    </row>
    <row r="88" spans="1:7" ht="15.75" x14ac:dyDescent="0.25">
      <c r="A88" s="70" t="s">
        <v>37</v>
      </c>
      <c r="B88" s="15"/>
      <c r="C88" s="15"/>
      <c r="D88" s="35"/>
      <c r="E88" s="35"/>
      <c r="F88" s="15"/>
      <c r="G88" s="50"/>
    </row>
    <row r="89" spans="1:7" ht="15.75" x14ac:dyDescent="0.25">
      <c r="A89" s="70" t="s">
        <v>50</v>
      </c>
      <c r="B89" s="15"/>
      <c r="C89" s="15"/>
      <c r="D89" s="35"/>
      <c r="E89" s="35"/>
      <c r="F89" s="15"/>
      <c r="G89" s="50"/>
    </row>
    <row r="90" spans="1:7" ht="15.75" x14ac:dyDescent="0.25">
      <c r="A90" s="70" t="s">
        <v>51</v>
      </c>
      <c r="B90" s="15"/>
      <c r="C90" s="15"/>
      <c r="D90" s="35"/>
      <c r="E90" s="35"/>
      <c r="F90" s="15"/>
      <c r="G90" s="50"/>
    </row>
    <row r="91" spans="1:7" ht="15.75" x14ac:dyDescent="0.25">
      <c r="A91" s="70" t="s">
        <v>77</v>
      </c>
      <c r="B91" s="15"/>
      <c r="C91" s="15"/>
      <c r="D91" s="35"/>
      <c r="E91" s="35"/>
      <c r="F91" s="15"/>
      <c r="G91" s="50"/>
    </row>
    <row r="92" spans="1:7" ht="15.75" x14ac:dyDescent="0.25">
      <c r="A92" s="70" t="s">
        <v>52</v>
      </c>
      <c r="B92" s="15"/>
      <c r="C92" s="15"/>
      <c r="D92" s="35"/>
      <c r="E92" s="35"/>
      <c r="F92" s="15"/>
      <c r="G92" s="50"/>
    </row>
    <row r="93" spans="1:7" ht="15.75" x14ac:dyDescent="0.25">
      <c r="A93" s="70" t="s">
        <v>78</v>
      </c>
      <c r="B93" s="15"/>
      <c r="C93" s="15"/>
      <c r="D93" s="35"/>
      <c r="E93" s="35"/>
      <c r="F93" s="15"/>
      <c r="G93" s="50"/>
    </row>
    <row r="94" spans="1:7" ht="15.75" x14ac:dyDescent="0.25">
      <c r="A94" s="70" t="s">
        <v>53</v>
      </c>
      <c r="B94" s="15"/>
      <c r="C94" s="15"/>
      <c r="D94" s="35"/>
      <c r="E94" s="35"/>
      <c r="F94" s="15"/>
      <c r="G94" s="50"/>
    </row>
    <row r="95" spans="1:7" ht="15.75" x14ac:dyDescent="0.25">
      <c r="A95" s="70" t="s">
        <v>54</v>
      </c>
      <c r="B95" s="15"/>
      <c r="C95" s="15"/>
      <c r="D95" s="35"/>
      <c r="E95" s="35"/>
      <c r="F95" s="15"/>
      <c r="G95" s="50"/>
    </row>
    <row r="96" spans="1:7" ht="15.75" x14ac:dyDescent="0.25">
      <c r="A96" s="70" t="s">
        <v>0</v>
      </c>
      <c r="B96" s="15"/>
      <c r="C96" s="15"/>
      <c r="D96" s="35"/>
      <c r="E96" s="35"/>
      <c r="F96" s="15"/>
      <c r="G96" s="50"/>
    </row>
    <row r="97" spans="1:7" ht="17.25" customHeight="1" x14ac:dyDescent="0.25">
      <c r="A97" s="69" t="s">
        <v>71</v>
      </c>
      <c r="B97" s="15"/>
      <c r="C97" s="15"/>
      <c r="D97" s="35"/>
      <c r="E97" s="15">
        <f>E98+E99+E100+E108+E112+E115+E116</f>
        <v>0</v>
      </c>
      <c r="F97" s="15"/>
      <c r="G97" s="22"/>
    </row>
    <row r="98" spans="1:7" ht="30" x14ac:dyDescent="0.25">
      <c r="A98" s="71" t="s">
        <v>87</v>
      </c>
      <c r="B98" s="15"/>
      <c r="C98" s="15"/>
      <c r="D98" s="35"/>
      <c r="E98" s="35"/>
      <c r="F98" s="15"/>
      <c r="G98" s="50"/>
    </row>
    <row r="99" spans="1:7" ht="15.75" x14ac:dyDescent="0.25">
      <c r="A99" s="71" t="s">
        <v>37</v>
      </c>
      <c r="B99" s="15"/>
      <c r="C99" s="15"/>
      <c r="D99" s="35"/>
      <c r="E99" s="35"/>
      <c r="F99" s="15"/>
      <c r="G99" s="50"/>
    </row>
    <row r="100" spans="1:7" ht="30" x14ac:dyDescent="0.25">
      <c r="A100" s="71" t="s">
        <v>55</v>
      </c>
      <c r="B100" s="15"/>
      <c r="C100" s="15"/>
      <c r="D100" s="35"/>
      <c r="E100" s="35"/>
      <c r="F100" s="15"/>
      <c r="G100" s="50"/>
    </row>
    <row r="101" spans="1:7" ht="15.75" x14ac:dyDescent="0.25">
      <c r="A101" s="72" t="s">
        <v>56</v>
      </c>
      <c r="B101" s="15"/>
      <c r="C101" s="15"/>
      <c r="D101" s="35"/>
      <c r="E101" s="35"/>
      <c r="F101" s="15"/>
      <c r="G101" s="50"/>
    </row>
    <row r="102" spans="1:7" ht="15.75" x14ac:dyDescent="0.25">
      <c r="A102" s="72" t="s">
        <v>57</v>
      </c>
      <c r="B102" s="15"/>
      <c r="C102" s="15"/>
      <c r="D102" s="35"/>
      <c r="E102" s="35"/>
      <c r="F102" s="15"/>
      <c r="G102" s="50"/>
    </row>
    <row r="103" spans="1:7" ht="15.75" x14ac:dyDescent="0.25">
      <c r="A103" s="72" t="s">
        <v>58</v>
      </c>
      <c r="B103" s="15"/>
      <c r="C103" s="15"/>
      <c r="D103" s="35"/>
      <c r="E103" s="35"/>
      <c r="F103" s="15"/>
      <c r="G103" s="50"/>
    </row>
    <row r="104" spans="1:7" ht="15.75" x14ac:dyDescent="0.25">
      <c r="A104" s="72" t="s">
        <v>59</v>
      </c>
      <c r="B104" s="15"/>
      <c r="C104" s="15"/>
      <c r="D104" s="35"/>
      <c r="E104" s="35"/>
      <c r="F104" s="15"/>
      <c r="G104" s="50"/>
    </row>
    <row r="105" spans="1:7" ht="15.75" x14ac:dyDescent="0.25">
      <c r="A105" s="72" t="s">
        <v>60</v>
      </c>
      <c r="B105" s="15"/>
      <c r="C105" s="15"/>
      <c r="D105" s="35"/>
      <c r="E105" s="35"/>
      <c r="F105" s="15"/>
      <c r="G105" s="50"/>
    </row>
    <row r="106" spans="1:7" ht="15.75" x14ac:dyDescent="0.25">
      <c r="A106" s="72" t="s">
        <v>61</v>
      </c>
      <c r="B106" s="15"/>
      <c r="C106" s="15"/>
      <c r="D106" s="35"/>
      <c r="E106" s="35"/>
      <c r="F106" s="15"/>
      <c r="G106" s="50"/>
    </row>
    <row r="107" spans="1:7" ht="15.75" x14ac:dyDescent="0.25">
      <c r="A107" s="72" t="s">
        <v>62</v>
      </c>
      <c r="B107" s="15"/>
      <c r="C107" s="15"/>
      <c r="D107" s="35"/>
      <c r="E107" s="35"/>
      <c r="F107" s="15"/>
      <c r="G107" s="50"/>
    </row>
    <row r="108" spans="1:7" ht="15.75" x14ac:dyDescent="0.25">
      <c r="A108" s="73" t="s">
        <v>63</v>
      </c>
      <c r="B108" s="15"/>
      <c r="C108" s="15"/>
      <c r="D108" s="35"/>
      <c r="E108" s="35"/>
      <c r="F108" s="15"/>
      <c r="G108" s="50"/>
    </row>
    <row r="109" spans="1:7" ht="15.75" x14ac:dyDescent="0.25">
      <c r="A109" s="72" t="s">
        <v>64</v>
      </c>
      <c r="B109" s="15"/>
      <c r="C109" s="15"/>
      <c r="D109" s="35"/>
      <c r="E109" s="35"/>
      <c r="F109" s="15"/>
      <c r="G109" s="50"/>
    </row>
    <row r="110" spans="1:7" ht="15.75" x14ac:dyDescent="0.25">
      <c r="A110" s="72" t="s">
        <v>65</v>
      </c>
      <c r="B110" s="15"/>
      <c r="C110" s="15"/>
      <c r="D110" s="35"/>
      <c r="E110" s="35"/>
      <c r="F110" s="15"/>
      <c r="G110" s="50"/>
    </row>
    <row r="111" spans="1:7" ht="15.75" x14ac:dyDescent="0.25">
      <c r="A111" s="72" t="s">
        <v>79</v>
      </c>
      <c r="B111" s="15"/>
      <c r="C111" s="15"/>
      <c r="D111" s="35"/>
      <c r="E111" s="35"/>
      <c r="F111" s="15"/>
      <c r="G111" s="50"/>
    </row>
    <row r="112" spans="1:7" ht="15.75" x14ac:dyDescent="0.25">
      <c r="A112" s="73" t="s">
        <v>66</v>
      </c>
      <c r="B112" s="15"/>
      <c r="C112" s="15"/>
      <c r="D112" s="35"/>
      <c r="E112" s="35"/>
      <c r="F112" s="15"/>
      <c r="G112" s="50"/>
    </row>
    <row r="113" spans="1:8" ht="15.75" x14ac:dyDescent="0.25">
      <c r="A113" s="72" t="s">
        <v>67</v>
      </c>
      <c r="B113" s="15"/>
      <c r="C113" s="15"/>
      <c r="D113" s="35"/>
      <c r="E113" s="35"/>
      <c r="F113" s="15"/>
      <c r="G113" s="50"/>
    </row>
    <row r="114" spans="1:8" ht="25.5" x14ac:dyDescent="0.25">
      <c r="A114" s="72" t="s">
        <v>80</v>
      </c>
      <c r="B114" s="15"/>
      <c r="C114" s="15"/>
      <c r="D114" s="35"/>
      <c r="E114" s="35"/>
      <c r="F114" s="15"/>
      <c r="G114" s="50"/>
    </row>
    <row r="115" spans="1:8" ht="15.75" x14ac:dyDescent="0.25">
      <c r="A115" s="73" t="s">
        <v>68</v>
      </c>
      <c r="B115" s="15"/>
      <c r="C115" s="15"/>
      <c r="D115" s="35"/>
      <c r="E115" s="35"/>
      <c r="F115" s="15"/>
      <c r="G115" s="50"/>
    </row>
    <row r="116" spans="1:8" ht="16.5" customHeight="1" x14ac:dyDescent="0.25">
      <c r="A116" s="73" t="s">
        <v>69</v>
      </c>
      <c r="B116" s="15"/>
      <c r="C116" s="15"/>
      <c r="D116" s="35"/>
      <c r="E116" s="35"/>
      <c r="F116" s="15"/>
      <c r="G116" s="50"/>
    </row>
    <row r="117" spans="1:8" ht="18" customHeight="1" x14ac:dyDescent="0.25">
      <c r="A117" s="33" t="s">
        <v>35</v>
      </c>
      <c r="B117" s="17">
        <f>B85+B84+B64+B35+B9</f>
        <v>32011.489795131856</v>
      </c>
      <c r="C117" s="17">
        <f>C85+C84+C64+C35+C9</f>
        <v>384137.87754158227</v>
      </c>
      <c r="D117" s="17">
        <f>D85+D84+D64+D35+D9</f>
        <v>384137.87754158227</v>
      </c>
      <c r="E117" s="17">
        <f>E85+E84+E64+E35+E9</f>
        <v>0</v>
      </c>
      <c r="F117" s="15">
        <f t="shared" si="10"/>
        <v>384137.87754158227</v>
      </c>
      <c r="G117" s="52"/>
      <c r="H117" s="17">
        <v>30151.506310000001</v>
      </c>
    </row>
    <row r="118" spans="1:8" ht="16.5" customHeight="1" x14ac:dyDescent="0.25">
      <c r="A118" s="29" t="s">
        <v>27</v>
      </c>
      <c r="B118" s="28">
        <f>тариф!B31</f>
        <v>1995.5</v>
      </c>
      <c r="C118" s="28">
        <v>1994.6</v>
      </c>
      <c r="D118" s="28">
        <f>тариф!B31</f>
        <v>1995.5</v>
      </c>
      <c r="E118" s="28">
        <f>тариф!B31</f>
        <v>1995.5</v>
      </c>
      <c r="F118" s="54"/>
      <c r="G118" s="14"/>
    </row>
    <row r="119" spans="1:8" ht="15.75" x14ac:dyDescent="0.25">
      <c r="A119" s="40" t="s">
        <v>39</v>
      </c>
      <c r="B119" s="41">
        <f>B117/B118</f>
        <v>16.041839035395569</v>
      </c>
      <c r="C119" s="41">
        <f>C117/C118/12</f>
        <v>16.049077406563651</v>
      </c>
      <c r="D119" s="41">
        <f>D117/D118/12</f>
        <v>16.041839035395569</v>
      </c>
      <c r="E119" s="41"/>
      <c r="F119" s="43"/>
      <c r="G119" s="19"/>
    </row>
    <row r="120" spans="1:8" ht="15.75" x14ac:dyDescent="0.25">
      <c r="A120" s="42"/>
      <c r="B120" s="49"/>
      <c r="C120" s="49"/>
      <c r="D120" s="49"/>
      <c r="E120" s="49"/>
      <c r="F120" s="49"/>
      <c r="G120" s="19"/>
    </row>
    <row r="121" spans="1:8" ht="15.75" hidden="1" x14ac:dyDescent="0.25">
      <c r="A121" s="42"/>
      <c r="B121" s="49"/>
      <c r="C121" s="49"/>
      <c r="D121" s="49"/>
      <c r="E121" s="49"/>
      <c r="F121" s="49"/>
      <c r="G121" s="19"/>
    </row>
    <row r="122" spans="1:8" ht="18.75" hidden="1" x14ac:dyDescent="0.3">
      <c r="A122" s="45" t="s">
        <v>48</v>
      </c>
      <c r="B122" s="1" t="s">
        <v>32</v>
      </c>
      <c r="C122" s="46" t="s">
        <v>49</v>
      </c>
      <c r="D122" s="46"/>
      <c r="E122" s="46"/>
      <c r="F122" s="46"/>
      <c r="G122" s="1"/>
    </row>
    <row r="123" spans="1:8" ht="15.75" x14ac:dyDescent="0.25">
      <c r="A123" s="30"/>
      <c r="B123" s="48"/>
      <c r="C123" s="48"/>
      <c r="D123" s="48"/>
      <c r="E123" s="48"/>
      <c r="F123" s="48"/>
    </row>
    <row r="124" spans="1:8" ht="15.75" x14ac:dyDescent="0.25">
      <c r="A124" s="13" t="s">
        <v>31</v>
      </c>
      <c r="B124" s="44" t="s">
        <v>46</v>
      </c>
      <c r="C124" s="44" t="s">
        <v>33</v>
      </c>
      <c r="E124" s="44" t="s">
        <v>33</v>
      </c>
      <c r="F124" s="44"/>
    </row>
    <row r="125" spans="1:8" ht="15.75" x14ac:dyDescent="0.25">
      <c r="A125" s="30"/>
      <c r="B125" s="48"/>
      <c r="C125" s="48"/>
      <c r="D125" s="48"/>
      <c r="E125" s="48"/>
      <c r="F125" s="48"/>
    </row>
  </sheetData>
  <mergeCells count="4">
    <mergeCell ref="A3:F3"/>
    <mergeCell ref="B4:F4"/>
    <mergeCell ref="A5:A7"/>
    <mergeCell ref="B5:D5"/>
  </mergeCells>
  <pageMargins left="0.7" right="0.7" top="0.75" bottom="0.75" header="0.3" footer="0.3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topLeftCell="D4" zoomScaleNormal="100" workbookViewId="0">
      <selection activeCell="G48" sqref="G48"/>
    </sheetView>
  </sheetViews>
  <sheetFormatPr defaultRowHeight="15" x14ac:dyDescent="0.25"/>
  <cols>
    <col min="1" max="1" width="56.42578125" style="1" customWidth="1"/>
    <col min="2" max="2" width="14.28515625" style="2" customWidth="1"/>
    <col min="3" max="3" width="13.140625" style="2" customWidth="1"/>
    <col min="4" max="4" width="14.28515625" style="2" customWidth="1"/>
    <col min="5" max="5" width="19.28515625" style="2" customWidth="1"/>
    <col min="6" max="6" width="17.140625" style="2" customWidth="1"/>
    <col min="7" max="7" width="20.28515625" style="1" customWidth="1"/>
    <col min="8" max="8" width="11.140625" style="1" customWidth="1"/>
    <col min="9" max="12" width="9.140625" style="1" customWidth="1"/>
    <col min="13" max="16384" width="9.140625" style="1"/>
  </cols>
  <sheetData>
    <row r="1" spans="1:10" ht="28.5" customHeight="1" x14ac:dyDescent="0.25">
      <c r="A1" s="68" t="s">
        <v>47</v>
      </c>
      <c r="B1" s="48"/>
      <c r="C1" s="48"/>
      <c r="D1" s="48"/>
      <c r="E1" s="48"/>
    </row>
    <row r="2" spans="1:10" ht="30" customHeight="1" x14ac:dyDescent="0.25">
      <c r="A2" s="68" t="s">
        <v>82</v>
      </c>
      <c r="B2" s="48"/>
      <c r="C2" s="48"/>
      <c r="D2" s="48"/>
      <c r="E2" s="48"/>
    </row>
    <row r="3" spans="1:10" ht="23.25" customHeight="1" x14ac:dyDescent="0.25">
      <c r="A3" s="144" t="s">
        <v>88</v>
      </c>
      <c r="B3" s="144"/>
      <c r="C3" s="144"/>
      <c r="D3" s="144"/>
      <c r="E3" s="144"/>
      <c r="F3" s="20"/>
    </row>
    <row r="4" spans="1:10" ht="22.5" customHeight="1" x14ac:dyDescent="0.25">
      <c r="A4" s="57" t="s">
        <v>1</v>
      </c>
      <c r="B4" s="145" t="str">
        <f>тариф!D2</f>
        <v>РЕЧНАЯ, 4А</v>
      </c>
      <c r="C4" s="146"/>
      <c r="D4" s="146"/>
      <c r="E4" s="147"/>
      <c r="F4" s="25"/>
    </row>
    <row r="5" spans="1:10" ht="20.25" customHeight="1" x14ac:dyDescent="0.25">
      <c r="A5" s="148" t="s">
        <v>30</v>
      </c>
      <c r="B5" s="151" t="s">
        <v>44</v>
      </c>
      <c r="C5" s="152"/>
      <c r="D5" s="51" t="s">
        <v>45</v>
      </c>
      <c r="E5" s="51" t="s">
        <v>72</v>
      </c>
    </row>
    <row r="6" spans="1:10" ht="18" customHeight="1" x14ac:dyDescent="0.25">
      <c r="A6" s="149"/>
      <c r="B6" s="24" t="s">
        <v>43</v>
      </c>
      <c r="C6" s="24" t="s">
        <v>42</v>
      </c>
      <c r="D6" s="24" t="s">
        <v>42</v>
      </c>
      <c r="E6" s="24" t="s">
        <v>73</v>
      </c>
      <c r="F6" s="26"/>
    </row>
    <row r="7" spans="1:10" ht="15.75" x14ac:dyDescent="0.25">
      <c r="A7" s="150"/>
      <c r="B7" s="34" t="s">
        <v>34</v>
      </c>
      <c r="C7" s="34" t="s">
        <v>34</v>
      </c>
      <c r="D7" s="34" t="s">
        <v>34</v>
      </c>
      <c r="E7" s="34" t="s">
        <v>34</v>
      </c>
      <c r="F7" s="21"/>
    </row>
    <row r="8" spans="1:10" ht="15.75" x14ac:dyDescent="0.25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21"/>
      <c r="G8" s="89"/>
    </row>
    <row r="9" spans="1:10" ht="17.25" customHeight="1" x14ac:dyDescent="0.25">
      <c r="A9" s="29" t="s">
        <v>2</v>
      </c>
      <c r="B9" s="15">
        <f>B10+B15+B20+B25+B30</f>
        <v>1211.6676000000002</v>
      </c>
      <c r="C9" s="15">
        <f>C10+C15+C20+C25+C30</f>
        <v>14540.011199999999</v>
      </c>
      <c r="D9" s="15">
        <f t="shared" ref="D9" si="0">D10+D15+D20+D25+D30</f>
        <v>0</v>
      </c>
      <c r="E9" s="15">
        <f>C9-D9</f>
        <v>14540.011199999999</v>
      </c>
      <c r="F9" s="23">
        <f>тариф!E5</f>
        <v>1211.6676000000002</v>
      </c>
      <c r="G9" s="89"/>
    </row>
    <row r="10" spans="1:10" ht="63.75" customHeight="1" x14ac:dyDescent="0.25">
      <c r="A10" s="31" t="s">
        <v>3</v>
      </c>
      <c r="B10" s="35">
        <f>F10</f>
        <v>122.92280000000001</v>
      </c>
      <c r="C10" s="35">
        <f>B10*12</f>
        <v>1475.0736000000002</v>
      </c>
      <c r="D10" s="35">
        <f>SUM(D11:D14)</f>
        <v>0</v>
      </c>
      <c r="E10" s="15">
        <f>C10-D10</f>
        <v>1475.0736000000002</v>
      </c>
      <c r="F10" s="22">
        <f>тариф!E6</f>
        <v>122.92280000000001</v>
      </c>
      <c r="G10" s="1" t="s">
        <v>97</v>
      </c>
      <c r="H10" s="1" t="s">
        <v>98</v>
      </c>
    </row>
    <row r="11" spans="1:10" ht="17.25" customHeight="1" x14ac:dyDescent="0.25">
      <c r="A11" s="36" t="s">
        <v>36</v>
      </c>
      <c r="B11" s="35"/>
      <c r="C11" s="35"/>
      <c r="D11" s="35">
        <v>0</v>
      </c>
      <c r="E11" s="15"/>
      <c r="F11" s="22">
        <f>G14+H14</f>
        <v>124.26267756945148</v>
      </c>
      <c r="G11" s="18">
        <v>19379</v>
      </c>
      <c r="H11" s="1">
        <v>21085</v>
      </c>
      <c r="J11" s="18"/>
    </row>
    <row r="12" spans="1:10" ht="14.25" customHeight="1" x14ac:dyDescent="0.25">
      <c r="A12" s="36" t="s">
        <v>37</v>
      </c>
      <c r="B12" s="35"/>
      <c r="C12" s="35"/>
      <c r="D12" s="35">
        <v>0</v>
      </c>
      <c r="E12" s="15"/>
      <c r="F12" s="22">
        <f>F11*0.302</f>
        <v>37.527328625974349</v>
      </c>
      <c r="G12" s="90">
        <f>('ТХ МКД'!B7+'ТХ МКД'!B28*0.5)*0.0111/1000</f>
        <v>3.5674289999999997E-2</v>
      </c>
      <c r="H12" s="90">
        <f>('ТХ МКД'!B7+'ТХ МКД'!B28*0.5)*0.00539/1000</f>
        <v>1.7322921000000002E-2</v>
      </c>
      <c r="I12" s="91"/>
    </row>
    <row r="13" spans="1:10" ht="14.25" customHeight="1" x14ac:dyDescent="0.25">
      <c r="A13" s="36" t="s">
        <v>38</v>
      </c>
      <c r="B13" s="35"/>
      <c r="C13" s="35"/>
      <c r="D13" s="35">
        <v>0</v>
      </c>
      <c r="E13" s="15"/>
      <c r="F13" s="22">
        <f>F10-F11-F12</f>
        <v>-38.867206195425823</v>
      </c>
      <c r="G13" s="90">
        <f>G12*0.109</f>
        <v>3.8884976099999996E-3</v>
      </c>
      <c r="H13" s="90">
        <f>H12*0.1339</f>
        <v>2.3195391218999999E-3</v>
      </c>
    </row>
    <row r="14" spans="1:10" ht="14.25" customHeight="1" x14ac:dyDescent="0.25">
      <c r="A14" s="36" t="s">
        <v>0</v>
      </c>
      <c r="B14" s="35"/>
      <c r="C14" s="35"/>
      <c r="D14" s="35">
        <v>0</v>
      </c>
      <c r="E14" s="15"/>
      <c r="F14" s="22"/>
      <c r="G14" s="92">
        <f>G11*G13</f>
        <v>75.355195184189995</v>
      </c>
      <c r="H14" s="92">
        <f>H11*H13</f>
        <v>48.907482385261495</v>
      </c>
    </row>
    <row r="15" spans="1:10" ht="33.75" customHeight="1" x14ac:dyDescent="0.25">
      <c r="A15" s="31" t="s">
        <v>4</v>
      </c>
      <c r="B15" s="35">
        <f>F15</f>
        <v>599.04910000000007</v>
      </c>
      <c r="C15" s="35">
        <f>B15*12</f>
        <v>7188.5892000000003</v>
      </c>
      <c r="D15" s="35">
        <f>SUM(D16:D19)</f>
        <v>0</v>
      </c>
      <c r="E15" s="15">
        <f>C15-D15</f>
        <v>7188.5892000000003</v>
      </c>
      <c r="F15" s="22">
        <f>тариф!E7</f>
        <v>599.04910000000007</v>
      </c>
      <c r="G15" s="1" t="s">
        <v>99</v>
      </c>
      <c r="H15" s="1" t="s">
        <v>100</v>
      </c>
      <c r="I15" s="1" t="s">
        <v>101</v>
      </c>
    </row>
    <row r="16" spans="1:10" ht="14.25" customHeight="1" x14ac:dyDescent="0.25">
      <c r="A16" s="37" t="s">
        <v>36</v>
      </c>
      <c r="B16" s="35"/>
      <c r="C16" s="35"/>
      <c r="D16" s="35">
        <v>0</v>
      </c>
      <c r="E16" s="15"/>
      <c r="F16" s="22">
        <f>G19+H19</f>
        <v>443.73845774268449</v>
      </c>
      <c r="G16" s="1">
        <v>21085</v>
      </c>
      <c r="H16" s="1">
        <v>19379</v>
      </c>
      <c r="I16" s="1">
        <v>16576</v>
      </c>
    </row>
    <row r="17" spans="1:9" ht="14.25" customHeight="1" x14ac:dyDescent="0.25">
      <c r="A17" s="37" t="s">
        <v>37</v>
      </c>
      <c r="B17" s="35"/>
      <c r="C17" s="35"/>
      <c r="D17" s="35">
        <v>0</v>
      </c>
      <c r="E17" s="15"/>
      <c r="F17" s="22">
        <f>F16*0.302</f>
        <v>134.00901423829072</v>
      </c>
      <c r="G17" s="90">
        <f>('ТХ МКД'!B7+'ТХ МКД'!B28*0.5)*0.0018/1000</f>
        <v>5.7850200000000001E-3</v>
      </c>
      <c r="H17" s="90">
        <f>('ТХ МКД'!B7+'ТХ МКД'!B28*0.5)*0.02295/1000</f>
        <v>7.3759005000000002E-2</v>
      </c>
      <c r="I17" s="90">
        <f>('ТХ МКД'!B7+'ТХ МКД'!B28*0.5)*0.02295/1000</f>
        <v>7.3759005000000002E-2</v>
      </c>
    </row>
    <row r="18" spans="1:9" ht="14.25" customHeight="1" x14ac:dyDescent="0.25">
      <c r="A18" s="37" t="s">
        <v>38</v>
      </c>
      <c r="B18" s="35"/>
      <c r="C18" s="35"/>
      <c r="D18" s="35">
        <v>0</v>
      </c>
      <c r="E18" s="15"/>
      <c r="F18" s="22">
        <f>F15-F16-F17</f>
        <v>21.301628019024861</v>
      </c>
      <c r="G18" s="90">
        <f>G17*0.5079</f>
        <v>2.938211658E-3</v>
      </c>
      <c r="H18" s="90">
        <f>H17*0.2671</f>
        <v>1.9701030235499999E-2</v>
      </c>
      <c r="I18" s="18"/>
    </row>
    <row r="19" spans="1:9" ht="14.25" customHeight="1" x14ac:dyDescent="0.25">
      <c r="A19" s="37" t="s">
        <v>0</v>
      </c>
      <c r="B19" s="35"/>
      <c r="C19" s="35"/>
      <c r="D19" s="35">
        <v>0</v>
      </c>
      <c r="E19" s="15"/>
      <c r="F19" s="22"/>
      <c r="G19" s="92">
        <f>G16*G18</f>
        <v>61.95219280893</v>
      </c>
      <c r="H19" s="92">
        <f>H16*H18</f>
        <v>381.78626493375447</v>
      </c>
      <c r="I19" s="93">
        <f>I18/2</f>
        <v>0</v>
      </c>
    </row>
    <row r="20" spans="1:9" ht="63.75" customHeight="1" x14ac:dyDescent="0.25">
      <c r="A20" s="31" t="s">
        <v>5</v>
      </c>
      <c r="B20" s="35">
        <f>F20</f>
        <v>57.470399999999998</v>
      </c>
      <c r="C20" s="35">
        <f>B20*12</f>
        <v>689.64480000000003</v>
      </c>
      <c r="D20" s="35">
        <f>SUM(D21:D24)</f>
        <v>0</v>
      </c>
      <c r="E20" s="15">
        <f>C20-D20</f>
        <v>689.64480000000003</v>
      </c>
      <c r="F20" s="22">
        <f>тариф!E8</f>
        <v>57.470399999999998</v>
      </c>
      <c r="G20" s="1" t="s">
        <v>102</v>
      </c>
    </row>
    <row r="21" spans="1:9" ht="15.75" x14ac:dyDescent="0.25">
      <c r="A21" s="37" t="s">
        <v>36</v>
      </c>
      <c r="B21" s="35"/>
      <c r="C21" s="35"/>
      <c r="D21" s="35">
        <v>0</v>
      </c>
      <c r="E21" s="15"/>
      <c r="F21" s="22">
        <f>G24</f>
        <v>65.925425805177596</v>
      </c>
      <c r="G21" s="1">
        <v>19379</v>
      </c>
    </row>
    <row r="22" spans="1:9" ht="15.75" x14ac:dyDescent="0.25">
      <c r="A22" s="37" t="s">
        <v>37</v>
      </c>
      <c r="B22" s="35"/>
      <c r="C22" s="35"/>
      <c r="D22" s="35">
        <v>0</v>
      </c>
      <c r="E22" s="15"/>
      <c r="F22" s="22">
        <f>F21*0.302</f>
        <v>19.909478593163634</v>
      </c>
      <c r="G22" s="90">
        <f>('ТХ МКД'!B7+'ТХ МКД'!B28*0.5)*0.00888/1000</f>
        <v>2.8539432E-2</v>
      </c>
    </row>
    <row r="23" spans="1:9" ht="15.75" x14ac:dyDescent="0.25">
      <c r="A23" s="37" t="s">
        <v>38</v>
      </c>
      <c r="B23" s="35"/>
      <c r="C23" s="35"/>
      <c r="D23" s="35">
        <v>0</v>
      </c>
      <c r="E23" s="15"/>
      <c r="F23" s="22">
        <f>F20-F21-F22</f>
        <v>-28.364504398341232</v>
      </c>
      <c r="G23" s="90">
        <f>G22*0.1192</f>
        <v>3.4019002943999998E-3</v>
      </c>
      <c r="H23" s="2"/>
    </row>
    <row r="24" spans="1:9" ht="15.75" x14ac:dyDescent="0.25">
      <c r="A24" s="37" t="s">
        <v>0</v>
      </c>
      <c r="B24" s="35"/>
      <c r="C24" s="35"/>
      <c r="D24" s="35">
        <v>0</v>
      </c>
      <c r="E24" s="15"/>
      <c r="F24" s="22"/>
      <c r="G24" s="92">
        <f>G21*G23</f>
        <v>65.925425805177596</v>
      </c>
    </row>
    <row r="25" spans="1:9" ht="15.75" x14ac:dyDescent="0.25">
      <c r="A25" s="31" t="s">
        <v>6</v>
      </c>
      <c r="B25" s="35">
        <f>F25</f>
        <v>162.03459999999998</v>
      </c>
      <c r="C25" s="35">
        <f>B25*12</f>
        <v>1944.4151999999999</v>
      </c>
      <c r="D25" s="35">
        <f>SUM(D26:D29)</f>
        <v>0</v>
      </c>
      <c r="E25" s="15">
        <f>C25-D25</f>
        <v>1944.4151999999999</v>
      </c>
      <c r="F25" s="22">
        <f>тариф!E9</f>
        <v>162.03459999999998</v>
      </c>
      <c r="G25" s="1" t="s">
        <v>103</v>
      </c>
    </row>
    <row r="26" spans="1:9" ht="15.75" x14ac:dyDescent="0.25">
      <c r="A26" s="37" t="s">
        <v>36</v>
      </c>
      <c r="B26" s="35"/>
      <c r="C26" s="35"/>
      <c r="D26" s="35">
        <v>0</v>
      </c>
      <c r="E26" s="15"/>
      <c r="F26" s="22">
        <f>G28</f>
        <v>99.721362840000012</v>
      </c>
      <c r="G26" s="1">
        <v>12188</v>
      </c>
    </row>
    <row r="27" spans="1:9" ht="15.75" x14ac:dyDescent="0.25">
      <c r="A27" s="37" t="s">
        <v>37</v>
      </c>
      <c r="B27" s="35"/>
      <c r="C27" s="35"/>
      <c r="D27" s="35">
        <v>0</v>
      </c>
      <c r="E27" s="15"/>
      <c r="F27" s="22">
        <f>F26*0.302</f>
        <v>30.115851577680001</v>
      </c>
      <c r="G27" s="90">
        <f>'ТХ МКД'!B27*0.0263/1000</f>
        <v>8.1819300000000005E-3</v>
      </c>
    </row>
    <row r="28" spans="1:9" ht="15.75" x14ac:dyDescent="0.25">
      <c r="A28" s="37" t="s">
        <v>38</v>
      </c>
      <c r="B28" s="35"/>
      <c r="C28" s="35"/>
      <c r="D28" s="35">
        <v>0</v>
      </c>
      <c r="E28" s="15"/>
      <c r="F28" s="22"/>
      <c r="G28" s="92">
        <f>G26*G27</f>
        <v>99.721362840000012</v>
      </c>
      <c r="H28" s="2"/>
    </row>
    <row r="29" spans="1:9" ht="15.75" x14ac:dyDescent="0.25">
      <c r="A29" s="37" t="s">
        <v>0</v>
      </c>
      <c r="B29" s="35"/>
      <c r="C29" s="35"/>
      <c r="D29" s="35">
        <v>0</v>
      </c>
      <c r="E29" s="15"/>
      <c r="F29" s="22"/>
    </row>
    <row r="30" spans="1:9" ht="31.5" x14ac:dyDescent="0.25">
      <c r="A30" s="31" t="s">
        <v>7</v>
      </c>
      <c r="B30" s="35">
        <f>F30</f>
        <v>270.19069999999999</v>
      </c>
      <c r="C30" s="35">
        <f>B30*12</f>
        <v>3242.2883999999999</v>
      </c>
      <c r="D30" s="35">
        <f>SUM(D31:D34)</f>
        <v>0</v>
      </c>
      <c r="E30" s="15">
        <f>C30-D30</f>
        <v>3242.2883999999999</v>
      </c>
      <c r="F30" s="22">
        <f>тариф!E10</f>
        <v>270.19069999999999</v>
      </c>
      <c r="G30" s="1" t="s">
        <v>104</v>
      </c>
    </row>
    <row r="31" spans="1:9" ht="15.75" x14ac:dyDescent="0.25">
      <c r="A31" s="37" t="s">
        <v>36</v>
      </c>
      <c r="B31" s="35"/>
      <c r="C31" s="35"/>
      <c r="D31" s="35"/>
      <c r="E31" s="15"/>
      <c r="F31" s="22"/>
      <c r="G31" s="1">
        <v>19379</v>
      </c>
    </row>
    <row r="32" spans="1:9" ht="15.75" x14ac:dyDescent="0.25">
      <c r="A32" s="37" t="s">
        <v>37</v>
      </c>
      <c r="B32" s="35"/>
      <c r="C32" s="35"/>
      <c r="D32" s="35"/>
      <c r="E32" s="15"/>
      <c r="F32" s="22"/>
      <c r="G32" s="90">
        <f>'ТХ МКД'!B21/1000*0.0763</f>
        <v>2.3561440000000003E-2</v>
      </c>
    </row>
    <row r="33" spans="1:8" ht="15.75" customHeight="1" x14ac:dyDescent="0.25">
      <c r="A33" s="37" t="s">
        <v>84</v>
      </c>
      <c r="B33" s="35"/>
      <c r="C33" s="35"/>
      <c r="D33" s="35"/>
      <c r="E33" s="15"/>
      <c r="F33" s="22"/>
      <c r="G33" s="90">
        <f>G32*0.1546</f>
        <v>3.642598624E-3</v>
      </c>
      <c r="H33" s="2"/>
    </row>
    <row r="34" spans="1:8" ht="15.75" x14ac:dyDescent="0.25">
      <c r="A34" s="37" t="s">
        <v>0</v>
      </c>
      <c r="B34" s="35"/>
      <c r="C34" s="35"/>
      <c r="D34" s="35"/>
      <c r="E34" s="15"/>
      <c r="F34" s="22"/>
      <c r="G34" s="92">
        <f>G31*G33</f>
        <v>70.589918734495996</v>
      </c>
    </row>
    <row r="35" spans="1:8" ht="31.5" x14ac:dyDescent="0.25">
      <c r="A35" s="29" t="s">
        <v>8</v>
      </c>
      <c r="B35" s="15">
        <f>B36+B41+B46+B51+B56+B58+B60+B62</f>
        <v>11168.015299999999</v>
      </c>
      <c r="C35" s="15">
        <f t="shared" ref="C35" si="1">C36+C41+C46+C51+C56+C58+C60+C62</f>
        <v>134016.18360000002</v>
      </c>
      <c r="D35" s="15">
        <f>D36+D41+D46+D51+D56+D58+D60+D62</f>
        <v>0</v>
      </c>
      <c r="E35" s="15">
        <f>C35-D35</f>
        <v>134016.18360000002</v>
      </c>
      <c r="F35" s="23">
        <f>тариф!E12</f>
        <v>11168.015299999999</v>
      </c>
      <c r="G35" s="94"/>
    </row>
    <row r="36" spans="1:8" ht="31.5" customHeight="1" x14ac:dyDescent="0.25">
      <c r="A36" s="31" t="s">
        <v>9</v>
      </c>
      <c r="B36" s="35">
        <f>F36</f>
        <v>2249.3276000000001</v>
      </c>
      <c r="C36" s="35">
        <f>B36*12</f>
        <v>26991.931199999999</v>
      </c>
      <c r="D36" s="35">
        <f>SUM(D37:D40)</f>
        <v>0</v>
      </c>
      <c r="E36" s="15">
        <f>C36-D36</f>
        <v>26991.931199999999</v>
      </c>
      <c r="F36" s="22">
        <f>тариф!E13</f>
        <v>2249.3276000000001</v>
      </c>
      <c r="G36" s="95" t="s">
        <v>105</v>
      </c>
      <c r="H36" s="1" t="s">
        <v>106</v>
      </c>
    </row>
    <row r="37" spans="1:8" ht="15.75" x14ac:dyDescent="0.25">
      <c r="A37" s="37" t="s">
        <v>36</v>
      </c>
      <c r="B37" s="35"/>
      <c r="C37" s="35"/>
      <c r="D37" s="35">
        <v>0</v>
      </c>
      <c r="E37" s="15"/>
      <c r="F37" s="22"/>
      <c r="G37" s="1">
        <v>22182</v>
      </c>
      <c r="H37" s="1">
        <v>22182</v>
      </c>
    </row>
    <row r="38" spans="1:8" ht="15.75" x14ac:dyDescent="0.25">
      <c r="A38" s="37" t="s">
        <v>37</v>
      </c>
      <c r="B38" s="35"/>
      <c r="C38" s="35"/>
      <c r="D38" s="35">
        <v>0</v>
      </c>
      <c r="E38" s="15"/>
      <c r="F38" s="22"/>
      <c r="G38" s="90">
        <f>'ТХ МКД'!B14/325</f>
        <v>0.11076923076923077</v>
      </c>
      <c r="H38" s="90">
        <f>('ТХ МКД'!B7+'ТХ МКД'!B28*0.5)*0.01631/1000</f>
        <v>5.2418709000000008E-2</v>
      </c>
    </row>
    <row r="39" spans="1:8" ht="15.75" x14ac:dyDescent="0.25">
      <c r="A39" s="37" t="s">
        <v>38</v>
      </c>
      <c r="B39" s="35"/>
      <c r="C39" s="35"/>
      <c r="D39" s="35">
        <v>0</v>
      </c>
      <c r="E39" s="15"/>
      <c r="F39" s="22"/>
      <c r="G39" s="90">
        <f>G38*0.312746</f>
        <v>3.4642633846153847E-2</v>
      </c>
      <c r="H39" s="19">
        <f>H38*0.1819</f>
        <v>9.534963167100001E-3</v>
      </c>
    </row>
    <row r="40" spans="1:8" ht="15.75" x14ac:dyDescent="0.25">
      <c r="A40" s="37" t="s">
        <v>0</v>
      </c>
      <c r="B40" s="35"/>
      <c r="C40" s="35"/>
      <c r="D40" s="35">
        <v>0</v>
      </c>
      <c r="E40" s="15"/>
      <c r="F40" s="22"/>
      <c r="G40" s="93">
        <f>G37*G39</f>
        <v>768.44290397538464</v>
      </c>
      <c r="H40" s="93">
        <f>H37*H39</f>
        <v>211.50455297261223</v>
      </c>
    </row>
    <row r="41" spans="1:8" ht="15.75" x14ac:dyDescent="0.25">
      <c r="A41" s="31" t="s">
        <v>10</v>
      </c>
      <c r="B41" s="35">
        <f>F41</f>
        <v>354.00170000000003</v>
      </c>
      <c r="C41" s="35">
        <f>B41*12</f>
        <v>4248.0204000000003</v>
      </c>
      <c r="D41" s="35">
        <f>SUM(D42:D45)</f>
        <v>0</v>
      </c>
      <c r="E41" s="15">
        <f>C41-D41</f>
        <v>4248.0204000000003</v>
      </c>
      <c r="F41" s="22">
        <f>тариф!E14</f>
        <v>354.00170000000003</v>
      </c>
      <c r="G41" s="1" t="s">
        <v>105</v>
      </c>
      <c r="H41" s="1" t="s">
        <v>106</v>
      </c>
    </row>
    <row r="42" spans="1:8" ht="15.75" x14ac:dyDescent="0.25">
      <c r="A42" s="37" t="s">
        <v>36</v>
      </c>
      <c r="B42" s="35"/>
      <c r="C42" s="35"/>
      <c r="D42" s="35">
        <v>0</v>
      </c>
      <c r="E42" s="15"/>
      <c r="F42" s="22"/>
      <c r="G42" s="1">
        <v>22182</v>
      </c>
      <c r="H42" s="1">
        <v>22182</v>
      </c>
    </row>
    <row r="43" spans="1:8" ht="15.75" x14ac:dyDescent="0.25">
      <c r="A43" s="37" t="s">
        <v>37</v>
      </c>
      <c r="B43" s="35"/>
      <c r="C43" s="35"/>
      <c r="D43" s="35">
        <v>0</v>
      </c>
      <c r="E43" s="15"/>
      <c r="F43" s="22"/>
      <c r="G43" s="90">
        <f>('ТХ МКД'!B7+'ТХ МКД'!B28*0.5)/39000</f>
        <v>8.2407692307692307E-2</v>
      </c>
    </row>
    <row r="44" spans="1:8" ht="15.75" x14ac:dyDescent="0.25">
      <c r="A44" s="37" t="s">
        <v>38</v>
      </c>
      <c r="B44" s="35"/>
      <c r="C44" s="35"/>
      <c r="D44" s="35">
        <v>0</v>
      </c>
      <c r="E44" s="15"/>
      <c r="F44" s="22"/>
      <c r="G44" s="90">
        <f>G43*0.3127</f>
        <v>2.5768885384615383E-2</v>
      </c>
    </row>
    <row r="45" spans="1:8" ht="15.75" x14ac:dyDescent="0.25">
      <c r="A45" s="37" t="s">
        <v>0</v>
      </c>
      <c r="B45" s="35"/>
      <c r="C45" s="35"/>
      <c r="D45" s="35">
        <v>0</v>
      </c>
      <c r="E45" s="15"/>
      <c r="F45" s="22"/>
      <c r="G45" s="93">
        <f>G42*G44</f>
        <v>571.60541560153843</v>
      </c>
    </row>
    <row r="46" spans="1:8" ht="15.75" x14ac:dyDescent="0.25">
      <c r="A46" s="31" t="s">
        <v>11</v>
      </c>
      <c r="B46" s="35">
        <f>F46</f>
        <v>567.32065</v>
      </c>
      <c r="C46" s="35">
        <f>B46*12</f>
        <v>6807.8477999999996</v>
      </c>
      <c r="D46" s="35">
        <f>SUM(D47:D50)</f>
        <v>0</v>
      </c>
      <c r="E46" s="15">
        <f>C46-D46</f>
        <v>6807.8477999999996</v>
      </c>
      <c r="F46" s="22">
        <f>тариф!E15</f>
        <v>567.32065</v>
      </c>
      <c r="G46" s="1" t="s">
        <v>107</v>
      </c>
    </row>
    <row r="47" spans="1:8" ht="15.75" x14ac:dyDescent="0.25">
      <c r="A47" s="37" t="s">
        <v>36</v>
      </c>
      <c r="B47" s="35"/>
      <c r="C47" s="35"/>
      <c r="D47" s="35">
        <v>0</v>
      </c>
      <c r="E47" s="15"/>
      <c r="F47" s="22"/>
      <c r="G47" s="1">
        <v>21085</v>
      </c>
    </row>
    <row r="48" spans="1:8" ht="15.75" x14ac:dyDescent="0.25">
      <c r="A48" s="37" t="s">
        <v>37</v>
      </c>
      <c r="B48" s="35"/>
      <c r="C48" s="35"/>
      <c r="D48" s="35">
        <v>0</v>
      </c>
      <c r="E48" s="15"/>
      <c r="F48" s="22"/>
      <c r="G48" s="90">
        <f>'ТХ МКД'!B16/2250</f>
        <v>1.6E-2</v>
      </c>
    </row>
    <row r="49" spans="1:7" ht="15.75" x14ac:dyDescent="0.25">
      <c r="A49" s="37" t="s">
        <v>38</v>
      </c>
      <c r="B49" s="35"/>
      <c r="C49" s="35"/>
      <c r="D49" s="35">
        <v>0</v>
      </c>
      <c r="E49" s="15"/>
      <c r="F49" s="22"/>
      <c r="G49" s="93">
        <f>G47*G48</f>
        <v>337.36</v>
      </c>
    </row>
    <row r="50" spans="1:7" ht="15.75" x14ac:dyDescent="0.25">
      <c r="A50" s="37" t="s">
        <v>0</v>
      </c>
      <c r="B50" s="35"/>
      <c r="C50" s="35"/>
      <c r="D50" s="35">
        <v>0</v>
      </c>
      <c r="E50" s="15"/>
      <c r="F50" s="22"/>
    </row>
    <row r="51" spans="1:7" ht="31.5" customHeight="1" x14ac:dyDescent="0.25">
      <c r="A51" s="32" t="s">
        <v>12</v>
      </c>
      <c r="B51" s="35">
        <f>F51</f>
        <v>169.61750000000001</v>
      </c>
      <c r="C51" s="35">
        <f>B51*12</f>
        <v>2035.41</v>
      </c>
      <c r="D51" s="35">
        <f>SUM(D52:D55)</f>
        <v>0</v>
      </c>
      <c r="E51" s="15">
        <f>C51-D51</f>
        <v>2035.41</v>
      </c>
      <c r="F51" s="22">
        <f>тариф!E16</f>
        <v>169.61750000000001</v>
      </c>
      <c r="G51" s="1" t="s">
        <v>108</v>
      </c>
    </row>
    <row r="52" spans="1:7" ht="15.75" x14ac:dyDescent="0.25">
      <c r="A52" s="37" t="s">
        <v>74</v>
      </c>
      <c r="B52" s="35"/>
      <c r="C52" s="35"/>
      <c r="D52" s="35"/>
      <c r="E52" s="15"/>
      <c r="F52" s="22">
        <f>G55</f>
        <v>186.72875999999999</v>
      </c>
      <c r="G52" s="1">
        <v>21085</v>
      </c>
    </row>
    <row r="53" spans="1:7" ht="15.75" x14ac:dyDescent="0.25">
      <c r="A53" s="37" t="s">
        <v>37</v>
      </c>
      <c r="B53" s="35"/>
      <c r="C53" s="35"/>
      <c r="D53" s="35"/>
      <c r="E53" s="15"/>
      <c r="F53" s="22">
        <f>F52*0.302</f>
        <v>56.392085519999995</v>
      </c>
      <c r="G53" s="1">
        <f>'ТХ МКД'!B12/1250</f>
        <v>2.8799999999999999E-2</v>
      </c>
    </row>
    <row r="54" spans="1:7" ht="15.75" x14ac:dyDescent="0.25">
      <c r="A54" s="37" t="s">
        <v>38</v>
      </c>
      <c r="B54" s="35"/>
      <c r="C54" s="35"/>
      <c r="D54" s="35"/>
      <c r="E54" s="15"/>
      <c r="F54" s="22">
        <f>F51-F52-F53</f>
        <v>-73.503345519999982</v>
      </c>
      <c r="G54" s="1">
        <f>G53*0.3075</f>
        <v>8.8559999999999993E-3</v>
      </c>
    </row>
    <row r="55" spans="1:7" ht="15.75" x14ac:dyDescent="0.25">
      <c r="A55" s="37" t="s">
        <v>0</v>
      </c>
      <c r="B55" s="35"/>
      <c r="C55" s="35"/>
      <c r="D55" s="35"/>
      <c r="E55" s="15"/>
      <c r="F55" s="22"/>
      <c r="G55" s="93">
        <f>G52*G54</f>
        <v>186.72875999999999</v>
      </c>
    </row>
    <row r="56" spans="1:7" ht="31.5" x14ac:dyDescent="0.25">
      <c r="A56" s="31" t="s">
        <v>13</v>
      </c>
      <c r="B56" s="35">
        <f>B57</f>
        <v>6071.7078499999998</v>
      </c>
      <c r="C56" s="35">
        <f t="shared" ref="C56:C71" si="2">B56*12</f>
        <v>72860.494200000001</v>
      </c>
      <c r="D56" s="35">
        <f>D57</f>
        <v>0</v>
      </c>
      <c r="E56" s="15">
        <f>C56-D56</f>
        <v>72860.494200000001</v>
      </c>
      <c r="F56" s="22">
        <f>тариф!E17</f>
        <v>6071.7078499999998</v>
      </c>
    </row>
    <row r="57" spans="1:7" ht="15.75" x14ac:dyDescent="0.25">
      <c r="A57" s="38" t="s">
        <v>85</v>
      </c>
      <c r="B57" s="35">
        <f>F56</f>
        <v>6071.7078499999998</v>
      </c>
      <c r="C57" s="35">
        <f>B57*12</f>
        <v>72860.494200000001</v>
      </c>
      <c r="D57" s="35"/>
      <c r="E57" s="15"/>
      <c r="F57" s="22"/>
    </row>
    <row r="58" spans="1:7" ht="15.75" x14ac:dyDescent="0.25">
      <c r="A58" s="31" t="s">
        <v>75</v>
      </c>
      <c r="B58" s="35">
        <f>B59</f>
        <v>1208.4748</v>
      </c>
      <c r="C58" s="35">
        <f t="shared" si="2"/>
        <v>14501.6976</v>
      </c>
      <c r="D58" s="35">
        <f>D59</f>
        <v>0</v>
      </c>
      <c r="E58" s="15">
        <f>C58-D58</f>
        <v>14501.6976</v>
      </c>
      <c r="F58" s="22">
        <f>тариф!E18+тариф!E19</f>
        <v>1208.4748</v>
      </c>
    </row>
    <row r="59" spans="1:7" ht="15.75" customHeight="1" x14ac:dyDescent="0.25">
      <c r="A59" s="38" t="s">
        <v>96</v>
      </c>
      <c r="B59" s="35">
        <f>F58</f>
        <v>1208.4748</v>
      </c>
      <c r="C59" s="35"/>
      <c r="D59" s="35"/>
      <c r="E59" s="15"/>
      <c r="F59" s="22"/>
    </row>
    <row r="60" spans="1:7" ht="15.75" hidden="1" x14ac:dyDescent="0.25">
      <c r="A60" s="31" t="s">
        <v>15</v>
      </c>
      <c r="B60" s="35">
        <f>B61</f>
        <v>0</v>
      </c>
      <c r="C60" s="35">
        <f t="shared" si="2"/>
        <v>0</v>
      </c>
      <c r="D60" s="35"/>
      <c r="E60" s="15" t="e">
        <f>#REF!-D60</f>
        <v>#REF!</v>
      </c>
      <c r="F60" s="22"/>
    </row>
    <row r="61" spans="1:7" ht="31.5" hidden="1" x14ac:dyDescent="0.25">
      <c r="A61" s="38" t="s">
        <v>41</v>
      </c>
      <c r="B61" s="35"/>
      <c r="C61" s="35">
        <f t="shared" si="2"/>
        <v>0</v>
      </c>
      <c r="D61" s="35"/>
      <c r="E61" s="15" t="e">
        <f>#REF!-D61</f>
        <v>#REF!</v>
      </c>
      <c r="F61" s="22"/>
    </row>
    <row r="62" spans="1:7" ht="31.5" customHeight="1" x14ac:dyDescent="0.25">
      <c r="A62" s="32" t="s">
        <v>16</v>
      </c>
      <c r="B62" s="35">
        <f>B63</f>
        <v>547.5652</v>
      </c>
      <c r="C62" s="35">
        <f t="shared" si="2"/>
        <v>6570.7824000000001</v>
      </c>
      <c r="D62" s="35">
        <f>D63</f>
        <v>0</v>
      </c>
      <c r="E62" s="15">
        <f>C62-D62</f>
        <v>6570.7824000000001</v>
      </c>
      <c r="F62" s="22">
        <f>тариф!E20</f>
        <v>547.5652</v>
      </c>
    </row>
    <row r="63" spans="1:7" ht="33" customHeight="1" x14ac:dyDescent="0.25">
      <c r="A63" s="39" t="s">
        <v>40</v>
      </c>
      <c r="B63" s="35">
        <f>F62</f>
        <v>547.5652</v>
      </c>
      <c r="C63" s="35"/>
      <c r="D63" s="35"/>
      <c r="E63" s="15"/>
      <c r="F63" s="22"/>
    </row>
    <row r="64" spans="1:7" ht="31.5" x14ac:dyDescent="0.25">
      <c r="A64" s="29" t="s">
        <v>17</v>
      </c>
      <c r="B64" s="16">
        <f>B65+B66+B71+B72+B77+B79</f>
        <v>10591.116249999999</v>
      </c>
      <c r="C64" s="16">
        <f t="shared" ref="C64:D64" si="3">C65+C66+C71+C72+C77+C79</f>
        <v>127093.39499999999</v>
      </c>
      <c r="D64" s="16">
        <f t="shared" si="3"/>
        <v>0</v>
      </c>
      <c r="E64" s="15">
        <f>C64-D64</f>
        <v>127093.39499999999</v>
      </c>
      <c r="F64" s="83">
        <f>тариф!E21</f>
        <v>10591.116249999999</v>
      </c>
      <c r="G64" s="27"/>
    </row>
    <row r="65" spans="1:7" ht="15.75" x14ac:dyDescent="0.25">
      <c r="A65" s="31" t="s">
        <v>18</v>
      </c>
      <c r="B65" s="47">
        <v>0</v>
      </c>
      <c r="C65" s="35">
        <f t="shared" si="2"/>
        <v>0</v>
      </c>
      <c r="D65" s="35">
        <v>0</v>
      </c>
      <c r="E65" s="15">
        <f t="shared" ref="E65:E66" si="4">C65-D65</f>
        <v>0</v>
      </c>
      <c r="F65" s="22"/>
    </row>
    <row r="66" spans="1:7" ht="31.5" customHeight="1" x14ac:dyDescent="0.25">
      <c r="A66" s="31" t="s">
        <v>19</v>
      </c>
      <c r="B66" s="35">
        <f>SUM(B67:B70)</f>
        <v>3155.4841499999998</v>
      </c>
      <c r="C66" s="35">
        <f>B66*12</f>
        <v>37865.809799999995</v>
      </c>
      <c r="D66" s="35">
        <f>SUM(D67:D70)</f>
        <v>0</v>
      </c>
      <c r="E66" s="15">
        <f t="shared" si="4"/>
        <v>37865.809799999995</v>
      </c>
      <c r="F66" s="22">
        <f>тариф!E23</f>
        <v>3155.4841499999998</v>
      </c>
      <c r="G66" s="1" t="s">
        <v>149</v>
      </c>
    </row>
    <row r="67" spans="1:7" ht="15.75" x14ac:dyDescent="0.25">
      <c r="A67" s="37" t="s">
        <v>151</v>
      </c>
      <c r="B67" s="35">
        <f>F67</f>
        <v>2083.5676190476188</v>
      </c>
      <c r="C67" s="35">
        <f t="shared" ref="C67:C69" si="5">B67*12</f>
        <v>25002.811428571425</v>
      </c>
      <c r="D67" s="35"/>
      <c r="E67" s="15"/>
      <c r="F67" s="22">
        <f>G69</f>
        <v>2083.5676190476188</v>
      </c>
      <c r="G67" s="1">
        <v>12188</v>
      </c>
    </row>
    <row r="68" spans="1:7" ht="15.75" x14ac:dyDescent="0.25">
      <c r="A68" s="37" t="s">
        <v>37</v>
      </c>
      <c r="B68" s="35">
        <f>B67*0.302</f>
        <v>629.23742095238083</v>
      </c>
      <c r="C68" s="35">
        <f t="shared" si="5"/>
        <v>7550.8490514285695</v>
      </c>
      <c r="D68" s="35"/>
      <c r="E68" s="15"/>
      <c r="F68" s="22">
        <f>F67*0.302</f>
        <v>629.23742095238083</v>
      </c>
      <c r="G68" s="109">
        <f>'ТХ МКД'!B30/5250</f>
        <v>0.17095238095238094</v>
      </c>
    </row>
    <row r="69" spans="1:7" ht="15.75" x14ac:dyDescent="0.25">
      <c r="A69" s="37" t="s">
        <v>38</v>
      </c>
      <c r="B69" s="35">
        <f>F66-B67-B68</f>
        <v>442.67911000000015</v>
      </c>
      <c r="C69" s="35">
        <f t="shared" si="5"/>
        <v>5312.1493200000023</v>
      </c>
      <c r="D69" s="35"/>
      <c r="E69" s="15"/>
      <c r="F69" s="22">
        <f>F66-F67-F68</f>
        <v>442.67911000000015</v>
      </c>
      <c r="G69" s="93">
        <f>G67*G68</f>
        <v>2083.5676190476188</v>
      </c>
    </row>
    <row r="70" spans="1:7" ht="15.75" x14ac:dyDescent="0.25">
      <c r="A70" s="37" t="s">
        <v>0</v>
      </c>
      <c r="B70" s="35"/>
      <c r="C70" s="35"/>
      <c r="D70" s="35"/>
      <c r="E70" s="15"/>
      <c r="F70" s="22"/>
    </row>
    <row r="71" spans="1:7" ht="15.75" x14ac:dyDescent="0.25">
      <c r="A71" s="31" t="s">
        <v>20</v>
      </c>
      <c r="B71" s="35">
        <v>0</v>
      </c>
      <c r="C71" s="35">
        <f t="shared" si="2"/>
        <v>0</v>
      </c>
      <c r="D71" s="35">
        <v>0</v>
      </c>
      <c r="E71" s="15"/>
      <c r="F71" s="22"/>
    </row>
    <row r="72" spans="1:7" ht="15.75" x14ac:dyDescent="0.25">
      <c r="A72" s="31" t="s">
        <v>21</v>
      </c>
      <c r="B72" s="35">
        <f>SUM(B73:B76)</f>
        <v>3349.8458500000002</v>
      </c>
      <c r="C72" s="35">
        <f>B72*12</f>
        <v>40198.150200000004</v>
      </c>
      <c r="D72" s="35">
        <f>SUM(D73:D76)</f>
        <v>0</v>
      </c>
      <c r="E72" s="15">
        <f>C72-D72</f>
        <v>40198.150200000004</v>
      </c>
      <c r="F72" s="22">
        <f>тариф!E25</f>
        <v>3349.8458500000002</v>
      </c>
      <c r="G72" s="1" t="s">
        <v>150</v>
      </c>
    </row>
    <row r="73" spans="1:7" ht="31.5" x14ac:dyDescent="0.25">
      <c r="A73" s="37" t="s">
        <v>152</v>
      </c>
      <c r="B73" s="35">
        <v>2253.56</v>
      </c>
      <c r="C73" s="35">
        <f t="shared" ref="C73:C75" si="6">B73*12</f>
        <v>27042.720000000001</v>
      </c>
      <c r="D73" s="35"/>
      <c r="E73" s="15"/>
      <c r="F73" s="22">
        <f>G75</f>
        <v>2253.6301886792453</v>
      </c>
      <c r="G73" s="1">
        <v>12188</v>
      </c>
    </row>
    <row r="74" spans="1:7" ht="15.75" x14ac:dyDescent="0.25">
      <c r="A74" s="37" t="s">
        <v>37</v>
      </c>
      <c r="B74" s="35">
        <f>B73*0.302</f>
        <v>680.57511999999997</v>
      </c>
      <c r="C74" s="35">
        <f t="shared" si="6"/>
        <v>8166.9014399999996</v>
      </c>
      <c r="D74" s="35"/>
      <c r="E74" s="15"/>
      <c r="F74" s="22">
        <f>F73*0.302</f>
        <v>680.59631698113208</v>
      </c>
      <c r="G74" s="90">
        <f>'ТХ МКД'!B18/530</f>
        <v>0.18490566037735848</v>
      </c>
    </row>
    <row r="75" spans="1:7" ht="15.75" x14ac:dyDescent="0.25">
      <c r="A75" s="37" t="s">
        <v>38</v>
      </c>
      <c r="B75" s="35">
        <f>F72-B74-B73</f>
        <v>415.71073000000024</v>
      </c>
      <c r="C75" s="35">
        <f t="shared" si="6"/>
        <v>4988.5287600000029</v>
      </c>
      <c r="D75" s="35"/>
      <c r="E75" s="15"/>
      <c r="F75" s="22">
        <f>F72-F73-F74</f>
        <v>415.61934433962278</v>
      </c>
      <c r="G75" s="93">
        <f>G73*G74</f>
        <v>2253.6301886792453</v>
      </c>
    </row>
    <row r="76" spans="1:7" ht="15.75" x14ac:dyDescent="0.25">
      <c r="A76" s="37" t="s">
        <v>0</v>
      </c>
      <c r="B76" s="35"/>
      <c r="C76" s="35"/>
      <c r="D76" s="35"/>
      <c r="E76" s="15"/>
      <c r="F76" s="22"/>
    </row>
    <row r="77" spans="1:7" ht="33.75" customHeight="1" x14ac:dyDescent="0.25">
      <c r="A77" s="31" t="s">
        <v>22</v>
      </c>
      <c r="B77" s="35">
        <f>B78</f>
        <v>912.74169999999992</v>
      </c>
      <c r="C77" s="35">
        <f t="shared" ref="C77:C85" si="7">B77*12</f>
        <v>10952.900399999999</v>
      </c>
      <c r="D77" s="35">
        <f>D78</f>
        <v>0</v>
      </c>
      <c r="E77" s="15">
        <f>C77-D77</f>
        <v>10952.900399999999</v>
      </c>
      <c r="F77" s="22">
        <f>тариф!E26</f>
        <v>912.74169999999992</v>
      </c>
    </row>
    <row r="78" spans="1:7" ht="33" customHeight="1" x14ac:dyDescent="0.25">
      <c r="A78" s="38" t="s">
        <v>40</v>
      </c>
      <c r="B78" s="35">
        <f>F77</f>
        <v>912.74169999999992</v>
      </c>
      <c r="C78" s="35">
        <f t="shared" si="7"/>
        <v>10952.900399999999</v>
      </c>
      <c r="D78" s="35"/>
      <c r="E78" s="15"/>
      <c r="F78" s="22"/>
    </row>
    <row r="79" spans="1:7" ht="18" customHeight="1" x14ac:dyDescent="0.25">
      <c r="A79" s="31" t="s">
        <v>23</v>
      </c>
      <c r="B79" s="35">
        <f>F79</f>
        <v>3173.0445500000001</v>
      </c>
      <c r="C79" s="35">
        <f t="shared" si="7"/>
        <v>38076.534599999999</v>
      </c>
      <c r="D79" s="35">
        <f>SUM(D80:D83)</f>
        <v>0</v>
      </c>
      <c r="E79" s="15">
        <f>C79-D79</f>
        <v>38076.534599999999</v>
      </c>
      <c r="F79" s="22">
        <f>тариф!E27</f>
        <v>3173.0445500000001</v>
      </c>
    </row>
    <row r="80" spans="1:7" ht="15.75" x14ac:dyDescent="0.25">
      <c r="A80" s="37" t="s">
        <v>36</v>
      </c>
      <c r="B80" s="35"/>
      <c r="C80" s="35"/>
      <c r="D80" s="35"/>
      <c r="E80" s="15"/>
      <c r="F80" s="22"/>
    </row>
    <row r="81" spans="1:6" ht="15.75" x14ac:dyDescent="0.25">
      <c r="A81" s="37" t="s">
        <v>37</v>
      </c>
      <c r="B81" s="35"/>
      <c r="C81" s="35"/>
      <c r="D81" s="35"/>
      <c r="E81" s="15"/>
      <c r="F81" s="22"/>
    </row>
    <row r="82" spans="1:6" ht="15.75" x14ac:dyDescent="0.25">
      <c r="A82" s="37" t="s">
        <v>38</v>
      </c>
      <c r="B82" s="35"/>
      <c r="C82" s="35"/>
      <c r="D82" s="35"/>
      <c r="E82" s="15"/>
      <c r="F82" s="22"/>
    </row>
    <row r="83" spans="1:6" ht="15.75" x14ac:dyDescent="0.25">
      <c r="A83" s="37" t="s">
        <v>0</v>
      </c>
      <c r="B83" s="35"/>
      <c r="C83" s="35"/>
      <c r="D83" s="35"/>
      <c r="E83" s="15"/>
      <c r="F83" s="22"/>
    </row>
    <row r="84" spans="1:6" ht="15.75" hidden="1" x14ac:dyDescent="0.25">
      <c r="A84" s="29" t="s">
        <v>24</v>
      </c>
      <c r="B84" s="15"/>
      <c r="C84" s="15">
        <f t="shared" si="7"/>
        <v>0</v>
      </c>
      <c r="D84" s="15"/>
      <c r="E84" s="15" t="e">
        <f>#REF!-D84</f>
        <v>#REF!</v>
      </c>
      <c r="F84" s="22"/>
    </row>
    <row r="85" spans="1:6" ht="31.5" x14ac:dyDescent="0.25">
      <c r="A85" s="29" t="s">
        <v>81</v>
      </c>
      <c r="B85" s="15">
        <f>тариф!C28+тариф!C29</f>
        <v>8910.3065999999999</v>
      </c>
      <c r="C85" s="15">
        <f t="shared" si="7"/>
        <v>106923.6792</v>
      </c>
      <c r="D85" s="15">
        <f>D86+D97</f>
        <v>93964.104000000007</v>
      </c>
      <c r="E85" s="15">
        <f>C85-D85</f>
        <v>12959.575199999992</v>
      </c>
      <c r="F85" s="83">
        <f>тариф!E28+тариф!E29</f>
        <v>8910.3065999999999</v>
      </c>
    </row>
    <row r="86" spans="1:6" ht="17.25" customHeight="1" x14ac:dyDescent="0.25">
      <c r="A86" s="69" t="s">
        <v>70</v>
      </c>
      <c r="B86" s="15"/>
      <c r="C86" s="15"/>
      <c r="D86" s="15">
        <f>SUM(D87:D96)</f>
        <v>51629.970600000001</v>
      </c>
      <c r="E86" s="15"/>
      <c r="F86" s="22"/>
    </row>
    <row r="87" spans="1:6" ht="25.5" x14ac:dyDescent="0.25">
      <c r="A87" s="70" t="s">
        <v>89</v>
      </c>
      <c r="B87" s="15"/>
      <c r="C87" s="15"/>
      <c r="D87" s="35">
        <f t="shared" ref="D87:D96" si="8">F87*$D$119*12</f>
        <v>34836.640800000001</v>
      </c>
      <c r="E87" s="15"/>
      <c r="F87" s="50">
        <v>1.4548000000000001</v>
      </c>
    </row>
    <row r="88" spans="1:6" ht="15.75" x14ac:dyDescent="0.25">
      <c r="A88" s="70" t="s">
        <v>37</v>
      </c>
      <c r="B88" s="15"/>
      <c r="C88" s="15"/>
      <c r="D88" s="35">
        <f t="shared" si="8"/>
        <v>10102.8174</v>
      </c>
      <c r="E88" s="15"/>
      <c r="F88" s="50">
        <v>0.4219</v>
      </c>
    </row>
    <row r="89" spans="1:6" ht="15.75" x14ac:dyDescent="0.25">
      <c r="A89" s="70" t="s">
        <v>50</v>
      </c>
      <c r="B89" s="15"/>
      <c r="C89" s="15"/>
      <c r="D89" s="35">
        <f t="shared" si="8"/>
        <v>162.83279999999999</v>
      </c>
      <c r="E89" s="15"/>
      <c r="F89" s="50">
        <v>6.7999999999999996E-3</v>
      </c>
    </row>
    <row r="90" spans="1:6" ht="15.75" x14ac:dyDescent="0.25">
      <c r="A90" s="70" t="s">
        <v>51</v>
      </c>
      <c r="B90" s="15"/>
      <c r="C90" s="15"/>
      <c r="D90" s="35">
        <f t="shared" si="8"/>
        <v>172.41120000000001</v>
      </c>
      <c r="E90" s="15"/>
      <c r="F90" s="50">
        <v>7.1999999999999998E-3</v>
      </c>
    </row>
    <row r="91" spans="1:6" ht="25.5" x14ac:dyDescent="0.25">
      <c r="A91" s="70" t="s">
        <v>90</v>
      </c>
      <c r="B91" s="15"/>
      <c r="C91" s="15"/>
      <c r="D91" s="35">
        <f t="shared" si="8"/>
        <v>153.2544</v>
      </c>
      <c r="E91" s="15"/>
      <c r="F91" s="50">
        <v>6.4000000000000003E-3</v>
      </c>
    </row>
    <row r="92" spans="1:6" ht="15.75" x14ac:dyDescent="0.25">
      <c r="A92" s="70" t="s">
        <v>52</v>
      </c>
      <c r="B92" s="15"/>
      <c r="C92" s="15"/>
      <c r="D92" s="35">
        <f t="shared" si="8"/>
        <v>150.85980000000001</v>
      </c>
      <c r="E92" s="15"/>
      <c r="F92" s="50">
        <v>6.3E-3</v>
      </c>
    </row>
    <row r="93" spans="1:6" ht="25.5" x14ac:dyDescent="0.25">
      <c r="A93" s="70" t="s">
        <v>91</v>
      </c>
      <c r="B93" s="15"/>
      <c r="C93" s="15"/>
      <c r="D93" s="35">
        <f t="shared" si="8"/>
        <v>191.56800000000001</v>
      </c>
      <c r="E93" s="15"/>
      <c r="F93" s="50">
        <v>8.0000000000000002E-3</v>
      </c>
    </row>
    <row r="94" spans="1:6" ht="15.75" x14ac:dyDescent="0.25">
      <c r="A94" s="70" t="s">
        <v>53</v>
      </c>
      <c r="B94" s="15"/>
      <c r="C94" s="15"/>
      <c r="D94" s="35">
        <f t="shared" si="8"/>
        <v>636.96359999999993</v>
      </c>
      <c r="E94" s="15"/>
      <c r="F94" s="50">
        <v>2.6599999999999999E-2</v>
      </c>
    </row>
    <row r="95" spans="1:6" ht="15.75" x14ac:dyDescent="0.25">
      <c r="A95" s="70" t="s">
        <v>54</v>
      </c>
      <c r="B95" s="15"/>
      <c r="C95" s="15"/>
      <c r="D95" s="35">
        <f t="shared" si="8"/>
        <v>1688.193</v>
      </c>
      <c r="E95" s="15"/>
      <c r="F95" s="50">
        <v>7.0499999999999993E-2</v>
      </c>
    </row>
    <row r="96" spans="1:6" ht="15.75" x14ac:dyDescent="0.25">
      <c r="A96" s="70" t="s">
        <v>0</v>
      </c>
      <c r="B96" s="15"/>
      <c r="C96" s="15"/>
      <c r="D96" s="35">
        <f t="shared" si="8"/>
        <v>3534.4295999999999</v>
      </c>
      <c r="E96" s="15"/>
      <c r="F96" s="50">
        <v>0.14760000000000001</v>
      </c>
    </row>
    <row r="97" spans="1:6" ht="17.25" customHeight="1" x14ac:dyDescent="0.25">
      <c r="A97" s="69" t="s">
        <v>71</v>
      </c>
      <c r="B97" s="15"/>
      <c r="C97" s="15"/>
      <c r="D97" s="15">
        <f>D98+D99+D100+D108+D112+D116+D117</f>
        <v>42334.133400000006</v>
      </c>
      <c r="E97" s="15"/>
      <c r="F97" s="22"/>
    </row>
    <row r="98" spans="1:6" ht="30" x14ac:dyDescent="0.25">
      <c r="A98" s="71" t="s">
        <v>95</v>
      </c>
      <c r="B98" s="15"/>
      <c r="C98" s="15"/>
      <c r="D98" s="35">
        <f t="shared" ref="D98:D117" si="9">F98*$D$119*12</f>
        <v>26285.5242</v>
      </c>
      <c r="E98" s="15"/>
      <c r="F98" s="50">
        <v>1.0976999999999999</v>
      </c>
    </row>
    <row r="99" spans="1:6" ht="15.75" x14ac:dyDescent="0.25">
      <c r="A99" s="71" t="s">
        <v>37</v>
      </c>
      <c r="B99" s="15"/>
      <c r="C99" s="15"/>
      <c r="D99" s="35">
        <f t="shared" si="9"/>
        <v>7672.2983999999997</v>
      </c>
      <c r="E99" s="15"/>
      <c r="F99" s="50">
        <v>0.32040000000000002</v>
      </c>
    </row>
    <row r="100" spans="1:6" ht="30" x14ac:dyDescent="0.25">
      <c r="A100" s="71" t="s">
        <v>55</v>
      </c>
      <c r="B100" s="15"/>
      <c r="C100" s="15"/>
      <c r="D100" s="35">
        <f t="shared" si="9"/>
        <v>3120.1637999999998</v>
      </c>
      <c r="E100" s="15"/>
      <c r="F100" s="50">
        <v>0.1303</v>
      </c>
    </row>
    <row r="101" spans="1:6" ht="15.75" x14ac:dyDescent="0.25">
      <c r="A101" s="72" t="s">
        <v>56</v>
      </c>
      <c r="B101" s="15"/>
      <c r="C101" s="15"/>
      <c r="D101" s="35">
        <f t="shared" si="9"/>
        <v>553.15260000000001</v>
      </c>
      <c r="E101" s="15"/>
      <c r="F101" s="50">
        <v>2.3099999999999999E-2</v>
      </c>
    </row>
    <row r="102" spans="1:6" ht="15.75" x14ac:dyDescent="0.25">
      <c r="A102" s="72" t="s">
        <v>57</v>
      </c>
      <c r="B102" s="15"/>
      <c r="C102" s="15"/>
      <c r="D102" s="35">
        <f t="shared" si="9"/>
        <v>23.946000000000002</v>
      </c>
      <c r="E102" s="15"/>
      <c r="F102" s="50">
        <v>1E-3</v>
      </c>
    </row>
    <row r="103" spans="1:6" ht="15.75" x14ac:dyDescent="0.25">
      <c r="A103" s="72" t="s">
        <v>58</v>
      </c>
      <c r="B103" s="15"/>
      <c r="C103" s="15"/>
      <c r="D103" s="35">
        <f t="shared" si="9"/>
        <v>522.02279999999996</v>
      </c>
      <c r="E103" s="15"/>
      <c r="F103" s="50">
        <v>2.18E-2</v>
      </c>
    </row>
    <row r="104" spans="1:6" ht="15.75" x14ac:dyDescent="0.25">
      <c r="A104" s="72" t="s">
        <v>92</v>
      </c>
      <c r="B104" s="15"/>
      <c r="C104" s="15"/>
      <c r="D104" s="35">
        <f t="shared" si="9"/>
        <v>52.681200000000004</v>
      </c>
      <c r="E104" s="15"/>
      <c r="F104" s="50">
        <v>2.2000000000000001E-3</v>
      </c>
    </row>
    <row r="105" spans="1:6" ht="15.75" x14ac:dyDescent="0.25">
      <c r="A105" s="72" t="s">
        <v>59</v>
      </c>
      <c r="B105" s="15"/>
      <c r="C105" s="15"/>
      <c r="D105" s="35">
        <f t="shared" si="9"/>
        <v>0</v>
      </c>
      <c r="E105" s="15"/>
      <c r="F105" s="50">
        <v>0</v>
      </c>
    </row>
    <row r="106" spans="1:6" ht="15.75" x14ac:dyDescent="0.25">
      <c r="A106" s="72" t="s">
        <v>60</v>
      </c>
      <c r="B106" s="15"/>
      <c r="C106" s="15"/>
      <c r="D106" s="35">
        <f t="shared" si="9"/>
        <v>483.70920000000001</v>
      </c>
      <c r="E106" s="15"/>
      <c r="F106" s="50">
        <v>2.0199999999999999E-2</v>
      </c>
    </row>
    <row r="107" spans="1:6" ht="15.75" x14ac:dyDescent="0.25">
      <c r="A107" s="72" t="s">
        <v>93</v>
      </c>
      <c r="B107" s="15"/>
      <c r="C107" s="15"/>
      <c r="D107" s="35">
        <f t="shared" si="9"/>
        <v>1460.7059999999999</v>
      </c>
      <c r="E107" s="15"/>
      <c r="F107" s="50">
        <v>6.0999999999999999E-2</v>
      </c>
    </row>
    <row r="108" spans="1:6" ht="17.25" customHeight="1" x14ac:dyDescent="0.25">
      <c r="A108" s="85" t="s">
        <v>62</v>
      </c>
      <c r="B108" s="15"/>
      <c r="C108" s="15"/>
      <c r="D108" s="35">
        <f t="shared" si="9"/>
        <v>26.340600000000002</v>
      </c>
      <c r="E108" s="15"/>
      <c r="F108" s="50">
        <v>1.1000000000000001E-3</v>
      </c>
    </row>
    <row r="109" spans="1:6" ht="15.75" x14ac:dyDescent="0.25">
      <c r="A109" s="86" t="s">
        <v>63</v>
      </c>
      <c r="B109" s="15"/>
      <c r="C109" s="15"/>
      <c r="D109" s="35">
        <f t="shared" si="9"/>
        <v>1305.057</v>
      </c>
      <c r="E109" s="15"/>
      <c r="F109" s="50">
        <v>5.45E-2</v>
      </c>
    </row>
    <row r="110" spans="1:6" ht="15.75" x14ac:dyDescent="0.25">
      <c r="A110" s="72" t="s">
        <v>64</v>
      </c>
      <c r="B110" s="15"/>
      <c r="C110" s="15"/>
      <c r="D110" s="35">
        <f t="shared" si="9"/>
        <v>141.28140000000002</v>
      </c>
      <c r="E110" s="15"/>
      <c r="F110" s="50">
        <v>5.8999999999999999E-3</v>
      </c>
    </row>
    <row r="111" spans="1:6" ht="15.75" x14ac:dyDescent="0.25">
      <c r="A111" s="72" t="s">
        <v>65</v>
      </c>
      <c r="B111" s="15"/>
      <c r="C111" s="15"/>
      <c r="D111" s="35">
        <f t="shared" si="9"/>
        <v>677.67179999999996</v>
      </c>
      <c r="E111" s="15"/>
      <c r="F111" s="50">
        <v>2.8299999999999999E-2</v>
      </c>
    </row>
    <row r="112" spans="1:6" ht="15.75" x14ac:dyDescent="0.25">
      <c r="A112" s="84" t="s">
        <v>94</v>
      </c>
      <c r="B112" s="15"/>
      <c r="C112" s="15"/>
      <c r="D112" s="35">
        <f t="shared" si="9"/>
        <v>486.10379999999998</v>
      </c>
      <c r="E112" s="15"/>
      <c r="F112" s="50">
        <v>2.0299999999999999E-2</v>
      </c>
    </row>
    <row r="113" spans="1:7" ht="15.75" x14ac:dyDescent="0.25">
      <c r="A113" s="87" t="s">
        <v>66</v>
      </c>
      <c r="B113" s="15"/>
      <c r="C113" s="15"/>
      <c r="D113" s="35">
        <f t="shared" si="9"/>
        <v>0</v>
      </c>
      <c r="E113" s="15"/>
      <c r="F113" s="50">
        <v>0</v>
      </c>
    </row>
    <row r="114" spans="1:7" ht="15.75" x14ac:dyDescent="0.25">
      <c r="A114" s="72" t="s">
        <v>67</v>
      </c>
      <c r="B114" s="15"/>
      <c r="C114" s="15"/>
      <c r="D114" s="35">
        <f t="shared" si="9"/>
        <v>0</v>
      </c>
      <c r="E114" s="15"/>
      <c r="F114" s="50">
        <v>0</v>
      </c>
    </row>
    <row r="115" spans="1:7" ht="25.5" x14ac:dyDescent="0.25">
      <c r="A115" s="72" t="s">
        <v>80</v>
      </c>
      <c r="B115" s="15"/>
      <c r="C115" s="15"/>
      <c r="D115" s="35">
        <f t="shared" si="9"/>
        <v>0</v>
      </c>
      <c r="E115" s="15"/>
      <c r="F115" s="50">
        <v>0</v>
      </c>
    </row>
    <row r="116" spans="1:7" ht="15.75" x14ac:dyDescent="0.25">
      <c r="A116" s="73" t="s">
        <v>68</v>
      </c>
      <c r="B116" s="15"/>
      <c r="C116" s="15"/>
      <c r="D116" s="35">
        <f t="shared" si="9"/>
        <v>2942.9634000000001</v>
      </c>
      <c r="E116" s="15"/>
      <c r="F116" s="50">
        <v>0.1229</v>
      </c>
    </row>
    <row r="117" spans="1:7" ht="16.5" customHeight="1" x14ac:dyDescent="0.25">
      <c r="A117" s="73" t="s">
        <v>69</v>
      </c>
      <c r="B117" s="15"/>
      <c r="C117" s="15"/>
      <c r="D117" s="35">
        <f t="shared" si="9"/>
        <v>1800.7392</v>
      </c>
      <c r="E117" s="15"/>
      <c r="F117" s="50">
        <v>7.5200000000000003E-2</v>
      </c>
    </row>
    <row r="118" spans="1:7" ht="18" customHeight="1" x14ac:dyDescent="0.25">
      <c r="A118" s="33" t="s">
        <v>35</v>
      </c>
      <c r="B118" s="17">
        <f>B85+B84+B64+B35+B9</f>
        <v>31881.105749999999</v>
      </c>
      <c r="C118" s="17">
        <f>C85+C84+C64+C35+C9</f>
        <v>382573.26900000003</v>
      </c>
      <c r="D118" s="17">
        <f>D85+D84+D64+D35+D9</f>
        <v>93964.104000000007</v>
      </c>
      <c r="E118" s="15">
        <f>C118-D118</f>
        <v>288609.16500000004</v>
      </c>
      <c r="F118" s="88">
        <v>7.5200000000000003E-2</v>
      </c>
      <c r="G118" s="17">
        <v>30151.506310000001</v>
      </c>
    </row>
    <row r="119" spans="1:7" ht="16.5" customHeight="1" x14ac:dyDescent="0.25">
      <c r="A119" s="29" t="s">
        <v>27</v>
      </c>
      <c r="B119" s="28">
        <f>тариф!D31</f>
        <v>1995.5</v>
      </c>
      <c r="C119" s="28">
        <f>тариф!B31</f>
        <v>1995.5</v>
      </c>
      <c r="D119" s="28">
        <f>тариф!B31</f>
        <v>1995.5</v>
      </c>
      <c r="E119" s="54"/>
      <c r="F119" s="14"/>
    </row>
    <row r="120" spans="1:7" ht="15.75" x14ac:dyDescent="0.25">
      <c r="A120" s="40" t="s">
        <v>39</v>
      </c>
      <c r="B120" s="41">
        <f>B118/B119</f>
        <v>15.9765</v>
      </c>
      <c r="C120" s="41">
        <f>C118/C119/12</f>
        <v>15.976500000000001</v>
      </c>
      <c r="D120" s="41">
        <f>D118/D119/6</f>
        <v>7.8479999999999999</v>
      </c>
      <c r="E120" s="43"/>
      <c r="F120" s="19"/>
    </row>
    <row r="121" spans="1:7" ht="15.75" x14ac:dyDescent="0.25">
      <c r="A121" s="42"/>
      <c r="B121" s="49"/>
      <c r="C121" s="49"/>
      <c r="D121" s="49"/>
      <c r="E121" s="49"/>
      <c r="F121" s="19"/>
    </row>
    <row r="122" spans="1:7" ht="15.75" hidden="1" x14ac:dyDescent="0.25">
      <c r="A122" s="42"/>
      <c r="B122" s="49"/>
      <c r="C122" s="49"/>
      <c r="D122" s="49"/>
      <c r="E122" s="49"/>
      <c r="F122" s="19"/>
    </row>
    <row r="123" spans="1:7" ht="18.75" hidden="1" x14ac:dyDescent="0.3">
      <c r="A123" s="45" t="s">
        <v>48</v>
      </c>
      <c r="B123" s="1" t="s">
        <v>32</v>
      </c>
      <c r="C123" s="46" t="s">
        <v>49</v>
      </c>
      <c r="D123" s="46"/>
      <c r="E123" s="46"/>
      <c r="F123" s="1"/>
    </row>
    <row r="124" spans="1:7" ht="15.75" x14ac:dyDescent="0.25">
      <c r="A124" s="30"/>
      <c r="B124" s="48"/>
      <c r="C124" s="48"/>
      <c r="D124" s="48"/>
      <c r="E124" s="48"/>
    </row>
    <row r="125" spans="1:7" ht="15.75" x14ac:dyDescent="0.25">
      <c r="A125" s="13" t="s">
        <v>31</v>
      </c>
      <c r="B125" s="44" t="s">
        <v>46</v>
      </c>
      <c r="C125" s="44"/>
      <c r="D125" s="44" t="s">
        <v>33</v>
      </c>
      <c r="E125" s="44"/>
    </row>
    <row r="126" spans="1:7" ht="15.75" x14ac:dyDescent="0.25">
      <c r="A126" s="30"/>
      <c r="B126" s="48"/>
      <c r="C126" s="48"/>
      <c r="D126" s="48"/>
      <c r="E126" s="48"/>
    </row>
  </sheetData>
  <mergeCells count="4">
    <mergeCell ref="A3:E3"/>
    <mergeCell ref="B4:E4"/>
    <mergeCell ref="A5:A7"/>
    <mergeCell ref="B5:C5"/>
  </mergeCells>
  <pageMargins left="0.7" right="0.7" top="0.75" bottom="0.75" header="0.3" footer="0.3"/>
  <pageSetup paperSize="9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C5" sqref="C5"/>
    </sheetView>
  </sheetViews>
  <sheetFormatPr defaultRowHeight="15" x14ac:dyDescent="0.25"/>
  <cols>
    <col min="1" max="1" width="68.5703125" customWidth="1"/>
    <col min="2" max="2" width="27.42578125" style="107" customWidth="1"/>
    <col min="3" max="3" width="28.7109375" customWidth="1"/>
  </cols>
  <sheetData>
    <row r="1" spans="1:3" x14ac:dyDescent="0.25">
      <c r="A1" s="1"/>
    </row>
    <row r="2" spans="1:3" ht="21.75" customHeight="1" x14ac:dyDescent="0.25">
      <c r="A2" s="96" t="s">
        <v>1</v>
      </c>
      <c r="B2" s="108" t="s">
        <v>148</v>
      </c>
      <c r="C2" s="117" t="s">
        <v>154</v>
      </c>
    </row>
    <row r="3" spans="1:3" ht="18" customHeight="1" x14ac:dyDescent="0.25">
      <c r="A3" s="106" t="s">
        <v>109</v>
      </c>
      <c r="B3" s="108">
        <v>153</v>
      </c>
      <c r="C3" s="110">
        <v>145</v>
      </c>
    </row>
    <row r="4" spans="1:3" ht="19.5" customHeight="1" x14ac:dyDescent="0.25">
      <c r="A4" s="97" t="s">
        <v>110</v>
      </c>
      <c r="B4" s="108">
        <v>2020</v>
      </c>
      <c r="C4" s="111">
        <v>2021</v>
      </c>
    </row>
    <row r="5" spans="1:3" ht="19.5" customHeight="1" x14ac:dyDescent="0.25">
      <c r="A5" s="97" t="s">
        <v>111</v>
      </c>
      <c r="B5" s="108">
        <v>1992</v>
      </c>
      <c r="C5" s="111">
        <v>1992</v>
      </c>
    </row>
    <row r="6" spans="1:3" ht="19.5" customHeight="1" x14ac:dyDescent="0.25">
      <c r="A6" s="97" t="s">
        <v>112</v>
      </c>
      <c r="B6" s="108">
        <v>28</v>
      </c>
      <c r="C6" s="112">
        <f t="shared" ref="C6" si="0">C4-C5</f>
        <v>29</v>
      </c>
    </row>
    <row r="7" spans="1:3" ht="19.5" customHeight="1" x14ac:dyDescent="0.25">
      <c r="A7" s="97" t="s">
        <v>113</v>
      </c>
      <c r="B7" s="108">
        <v>2774.1</v>
      </c>
      <c r="C7" s="113">
        <v>2774.1</v>
      </c>
    </row>
    <row r="8" spans="1:3" ht="19.5" customHeight="1" x14ac:dyDescent="0.25">
      <c r="A8" s="97" t="s">
        <v>114</v>
      </c>
      <c r="B8" s="108">
        <v>1994.6</v>
      </c>
      <c r="C8" s="113">
        <v>1995.5</v>
      </c>
    </row>
    <row r="9" spans="1:3" ht="19.5" customHeight="1" x14ac:dyDescent="0.25">
      <c r="A9" s="97" t="s">
        <v>115</v>
      </c>
      <c r="B9" s="108" t="s">
        <v>147</v>
      </c>
      <c r="C9" s="113" t="s">
        <v>147</v>
      </c>
    </row>
    <row r="10" spans="1:3" ht="19.5" customHeight="1" x14ac:dyDescent="0.25">
      <c r="A10" s="97" t="s">
        <v>116</v>
      </c>
      <c r="B10" s="108">
        <v>1994.6</v>
      </c>
      <c r="C10" s="111">
        <f t="shared" ref="C10" si="1">IF(C9&gt;0,C8,0)</f>
        <v>1995.5</v>
      </c>
    </row>
    <row r="11" spans="1:3" ht="19.5" customHeight="1" x14ac:dyDescent="0.25">
      <c r="A11" s="97" t="s">
        <v>117</v>
      </c>
      <c r="B11" s="108">
        <v>9</v>
      </c>
      <c r="C11" s="113">
        <v>9</v>
      </c>
    </row>
    <row r="12" spans="1:3" ht="19.5" customHeight="1" x14ac:dyDescent="0.25">
      <c r="A12" s="97" t="s">
        <v>118</v>
      </c>
      <c r="B12" s="108">
        <v>36</v>
      </c>
      <c r="C12" s="113">
        <v>36</v>
      </c>
    </row>
    <row r="13" spans="1:3" ht="19.5" customHeight="1" x14ac:dyDescent="0.25">
      <c r="A13" s="97" t="s">
        <v>119</v>
      </c>
      <c r="B13" s="108">
        <v>36</v>
      </c>
      <c r="C13" s="113">
        <f t="shared" ref="C13" si="2">IF(AND(C14+C15=C16+C17,C14+C15=C12),C12,"ОШИБКА")</f>
        <v>36</v>
      </c>
    </row>
    <row r="14" spans="1:3" ht="19.5" customHeight="1" x14ac:dyDescent="0.25">
      <c r="A14" s="98" t="s">
        <v>120</v>
      </c>
      <c r="B14" s="108">
        <v>36</v>
      </c>
      <c r="C14" s="113">
        <v>36</v>
      </c>
    </row>
    <row r="15" spans="1:3" ht="19.5" customHeight="1" x14ac:dyDescent="0.25">
      <c r="A15" s="98" t="s">
        <v>121</v>
      </c>
      <c r="B15" s="108">
        <v>0</v>
      </c>
      <c r="C15" s="113">
        <v>0</v>
      </c>
    </row>
    <row r="16" spans="1:3" ht="19.5" customHeight="1" x14ac:dyDescent="0.25">
      <c r="A16" s="98" t="s">
        <v>122</v>
      </c>
      <c r="B16" s="108">
        <v>36</v>
      </c>
      <c r="C16" s="113">
        <v>36</v>
      </c>
    </row>
    <row r="17" spans="1:3" ht="19.5" customHeight="1" x14ac:dyDescent="0.25">
      <c r="A17" s="98" t="s">
        <v>123</v>
      </c>
      <c r="B17" s="108">
        <v>0</v>
      </c>
      <c r="C17" s="113">
        <v>0</v>
      </c>
    </row>
    <row r="18" spans="1:3" ht="19.5" customHeight="1" x14ac:dyDescent="0.25">
      <c r="A18" s="97" t="s">
        <v>124</v>
      </c>
      <c r="B18" s="108">
        <v>98</v>
      </c>
      <c r="C18" s="113">
        <v>98</v>
      </c>
    </row>
    <row r="19" spans="1:3" ht="17.25" customHeight="1" x14ac:dyDescent="0.25">
      <c r="A19" s="97" t="s">
        <v>125</v>
      </c>
      <c r="B19" s="108">
        <v>308.8</v>
      </c>
      <c r="C19" s="114">
        <f t="shared" ref="C19" si="3">SUM(C20:C22)</f>
        <v>308.8</v>
      </c>
    </row>
    <row r="20" spans="1:3" ht="17.25" customHeight="1" x14ac:dyDescent="0.25">
      <c r="A20" s="99" t="s">
        <v>126</v>
      </c>
      <c r="B20" s="108">
        <v>0</v>
      </c>
      <c r="C20" s="113">
        <v>0</v>
      </c>
    </row>
    <row r="21" spans="1:3" ht="17.25" customHeight="1" x14ac:dyDescent="0.25">
      <c r="A21" s="99" t="s">
        <v>127</v>
      </c>
      <c r="B21" s="108">
        <v>308.8</v>
      </c>
      <c r="C21" s="113">
        <v>308.8</v>
      </c>
    </row>
    <row r="22" spans="1:3" ht="17.25" customHeight="1" x14ac:dyDescent="0.25">
      <c r="A22" s="99" t="s">
        <v>128</v>
      </c>
      <c r="B22" s="108">
        <v>0</v>
      </c>
      <c r="C22" s="113">
        <v>0</v>
      </c>
    </row>
    <row r="23" spans="1:3" ht="17.25" customHeight="1" x14ac:dyDescent="0.25">
      <c r="A23" s="97" t="s">
        <v>129</v>
      </c>
      <c r="B23" s="108">
        <v>2774.1</v>
      </c>
      <c r="C23" s="114">
        <f t="shared" ref="C23" si="4">SUM(C24:C26)</f>
        <v>2774.1</v>
      </c>
    </row>
    <row r="24" spans="1:3" ht="17.25" customHeight="1" x14ac:dyDescent="0.25">
      <c r="A24" s="99" t="s">
        <v>130</v>
      </c>
      <c r="B24" s="108">
        <v>0</v>
      </c>
      <c r="C24" s="113">
        <v>0</v>
      </c>
    </row>
    <row r="25" spans="1:3" ht="17.25" customHeight="1" x14ac:dyDescent="0.25">
      <c r="A25" s="100" t="s">
        <v>131</v>
      </c>
      <c r="B25" s="108">
        <v>2774.1</v>
      </c>
      <c r="C25" s="113">
        <f>C7</f>
        <v>2774.1</v>
      </c>
    </row>
    <row r="26" spans="1:3" ht="17.25" customHeight="1" x14ac:dyDescent="0.25">
      <c r="A26" s="101" t="s">
        <v>132</v>
      </c>
      <c r="B26" s="108">
        <v>0</v>
      </c>
      <c r="C26" s="111">
        <v>0</v>
      </c>
    </row>
    <row r="27" spans="1:3" ht="17.25" customHeight="1" x14ac:dyDescent="0.25">
      <c r="A27" s="97" t="s">
        <v>133</v>
      </c>
      <c r="B27" s="108">
        <v>311.10000000000002</v>
      </c>
      <c r="C27" s="111">
        <v>311.10000000000002</v>
      </c>
    </row>
    <row r="28" spans="1:3" ht="17.25" customHeight="1" x14ac:dyDescent="0.25">
      <c r="A28" s="97" t="s">
        <v>134</v>
      </c>
      <c r="B28" s="108">
        <v>879.6</v>
      </c>
      <c r="C28" s="113">
        <v>879.6</v>
      </c>
    </row>
    <row r="29" spans="1:3" ht="17.25" customHeight="1" x14ac:dyDescent="0.25">
      <c r="A29" s="102" t="s">
        <v>135</v>
      </c>
      <c r="B29" s="108">
        <f>SUM(B30:B32)</f>
        <v>897.5</v>
      </c>
      <c r="C29" s="115">
        <f t="shared" ref="C29" si="5">SUM(C30:C32)</f>
        <v>897.5</v>
      </c>
    </row>
    <row r="30" spans="1:3" ht="17.25" customHeight="1" x14ac:dyDescent="0.25">
      <c r="A30" s="98" t="s">
        <v>136</v>
      </c>
      <c r="B30" s="108">
        <v>897.5</v>
      </c>
      <c r="C30" s="113">
        <v>897.5</v>
      </c>
    </row>
    <row r="31" spans="1:3" ht="17.25" customHeight="1" x14ac:dyDescent="0.25">
      <c r="A31" s="98" t="s">
        <v>137</v>
      </c>
      <c r="B31" s="108">
        <v>0</v>
      </c>
      <c r="C31" s="113">
        <v>0</v>
      </c>
    </row>
    <row r="32" spans="1:3" ht="17.25" customHeight="1" x14ac:dyDescent="0.25">
      <c r="A32" s="98" t="s">
        <v>138</v>
      </c>
      <c r="B32" s="108">
        <v>0</v>
      </c>
      <c r="C32" s="113">
        <v>0</v>
      </c>
    </row>
    <row r="33" spans="1:3" ht="17.25" customHeight="1" x14ac:dyDescent="0.25">
      <c r="A33" s="97" t="s">
        <v>139</v>
      </c>
      <c r="B33" s="108">
        <v>1</v>
      </c>
      <c r="C33" s="113">
        <f t="shared" ref="C33" si="6">SUM(C34:C35)</f>
        <v>1</v>
      </c>
    </row>
    <row r="34" spans="1:3" ht="17.25" customHeight="1" x14ac:dyDescent="0.25">
      <c r="A34" s="103" t="s">
        <v>140</v>
      </c>
      <c r="B34" s="108">
        <v>0</v>
      </c>
      <c r="C34" s="113">
        <v>0</v>
      </c>
    </row>
    <row r="35" spans="1:3" ht="17.25" customHeight="1" x14ac:dyDescent="0.25">
      <c r="A35" s="103" t="s">
        <v>141</v>
      </c>
      <c r="B35" s="108">
        <v>1</v>
      </c>
      <c r="C35" s="113">
        <v>1</v>
      </c>
    </row>
    <row r="36" spans="1:3" ht="17.25" customHeight="1" x14ac:dyDescent="0.25">
      <c r="A36" s="102" t="s">
        <v>142</v>
      </c>
      <c r="B36" s="108">
        <v>1</v>
      </c>
      <c r="C36" s="116">
        <v>1</v>
      </c>
    </row>
    <row r="37" spans="1:3" ht="17.25" customHeight="1" x14ac:dyDescent="0.25">
      <c r="A37" s="102" t="s">
        <v>143</v>
      </c>
      <c r="B37" s="108">
        <v>2</v>
      </c>
      <c r="C37" s="113">
        <v>2</v>
      </c>
    </row>
    <row r="38" spans="1:3" ht="15.75" x14ac:dyDescent="0.25">
      <c r="A38" s="104" t="s">
        <v>144</v>
      </c>
      <c r="B38" s="107">
        <v>2352</v>
      </c>
    </row>
    <row r="39" spans="1:3" ht="15.75" x14ac:dyDescent="0.25">
      <c r="A39" s="105" t="s">
        <v>145</v>
      </c>
      <c r="B39" s="107">
        <v>1374</v>
      </c>
    </row>
    <row r="40" spans="1:3" ht="15.75" x14ac:dyDescent="0.25">
      <c r="A40" s="105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калькуляция 2021</vt:lpstr>
      <vt:lpstr>тариф 01.10.21</vt:lpstr>
      <vt:lpstr>тариф</vt:lpstr>
      <vt:lpstr>калькуляция 2020</vt:lpstr>
      <vt:lpstr>калькуляция 2019</vt:lpstr>
      <vt:lpstr>ТХ МКД</vt:lpstr>
      <vt:lpstr>'калькуляция 2019'!Область_печати</vt:lpstr>
      <vt:lpstr>'калькуляция 2020'!Область_печати</vt:lpstr>
      <vt:lpstr>'калькуляция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Masha</cp:lastModifiedBy>
  <cp:lastPrinted>2022-07-04T12:51:16Z</cp:lastPrinted>
  <dcterms:created xsi:type="dcterms:W3CDTF">2018-03-30T11:45:59Z</dcterms:created>
  <dcterms:modified xsi:type="dcterms:W3CDTF">2022-07-04T12:51:50Z</dcterms:modified>
</cp:coreProperties>
</file>